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01" windowWidth="12120" windowHeight="9120" activeTab="0"/>
  </bookViews>
  <sheets>
    <sheet name="прил.№6 (2)" sheetId="1" r:id="rId1"/>
  </sheets>
  <definedNames>
    <definedName name="_xlnm.Print_Area" localSheetId="0">'прил.№6 (2)'!$B$1:$O$289</definedName>
  </definedNames>
  <calcPr fullCalcOnLoad="1" fullPrecision="0"/>
</workbook>
</file>

<file path=xl/sharedStrings.xml><?xml version="1.0" encoding="utf-8"?>
<sst xmlns="http://schemas.openxmlformats.org/spreadsheetml/2006/main" count="1154" uniqueCount="675">
  <si>
    <t xml:space="preserve"> Администрация ЗАТО г.Железногорск (расходы за счет субвенции на реализацию Закона края по организации содержания, выхаживания и воспитания детей в возрасте до 4-х лет оставшихся без попечения родителей) </t>
  </si>
  <si>
    <t>Финансовое управление Администрации ЗАТО Железногорск (расходы на возмещение затрат МП "Нега", связанных с применением регулируемых цен на банные услуги)</t>
  </si>
  <si>
    <t>Финансовое управление Администрации ЗАТО Железногорск (расходы на компенсацию выпадающих доходов организаций жилищно-коммунального комплекса,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 изменения размера платы граждан за коммунальные услуги и возникших в 2006 году в результате несоответствия производственной программы по тепловой энергии, предъявляемой МП "Гортеплоэнерго" обслуживающим жилищный фонд организациям коммунального комплекса и оплачиваемой населением в пределах нормативов потребления коммунальных услуг, установленных на территории ЗАТО Железногорск)</t>
  </si>
  <si>
    <t>Управление образования (расходы за счет субвенции на оплату за содержание в муниципальных дошкольных образовательных учреждениях (группах) детей, у которых по заключению медицинских учреждений, выявлены недостатки в физическом и психическом развитии, а также детей, находящихся в турбекульзных детских дошкольных учреждениях, в соответствии с Законом края "О защите прав ребенка")</t>
  </si>
  <si>
    <t>Расходы за счет субвенции на финансовое обеспечение государственных гарантий прав граждан на получение общедоступного и бесплатного начального общ., средн.(полного) общ.образования в общеобразовательных учреждениях края, том числе негосударственных образовательных учреждениях прошедшие государственную аккредитацию и реализующих основ.общеобразовательные программы, в размере необходимых для реализации основ.общеобразоват.программ, в соответствии с Законом РФ "Об образовании"</t>
  </si>
  <si>
    <t>Управление образования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</si>
  <si>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Приложение № 6</t>
  </si>
  <si>
    <t>Финансовое управление Администрации ЗАТО Железногорск (субсидии МП "КОСС" на возмещение затрат, связанных с содержанием спортивных сооружений, организацией спортивно-массовых мероприятий в рамках программы "Развитие физической культуры и спорта и формирование здорового образа жизни в ЗАТО Железногорск на 2007 год")</t>
  </si>
  <si>
    <t>УСЗН Администрации ЗАТО Железногорск(расходы за счет субвенции на реализацию Закона края от 27.12.05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жилищно-коммунальных услуг)</t>
  </si>
  <si>
    <t>УСЗН Администрации ЗАТО Железногорск (расходы на реализацию Программы ЗАТО Железногорск "Организация питания учащихся муниципальных образовательных учреждений из семей со среднедушевым доходом ниже величины прожиточного минимума, установленного в Красноярском крае в расчете на душу населения по группам территорий края на 2007 год")</t>
  </si>
  <si>
    <t>351 00 09</t>
  </si>
  <si>
    <t>505 00 24</t>
  </si>
  <si>
    <t>505 00 25</t>
  </si>
  <si>
    <t>505 00 29</t>
  </si>
  <si>
    <t>174</t>
  </si>
  <si>
    <t>175</t>
  </si>
  <si>
    <t>176</t>
  </si>
  <si>
    <t>177</t>
  </si>
  <si>
    <t>253</t>
  </si>
  <si>
    <t>939,70162</t>
  </si>
  <si>
    <t>к решению Совета депутатов</t>
  </si>
  <si>
    <t>"Приложение № 6</t>
  </si>
  <si>
    <t>к решению городского Совета</t>
  </si>
  <si>
    <t>от 12.12.2006 № 22-134Р"</t>
  </si>
  <si>
    <t>Расходы бюджета ЗАТО Железногорск на 2007 год по распорядителям и получателям бюджетных средств в рамках разделов, подразделов, целевых статей расходов, видов расходов классификации расходов бюджета Российской Федерации</t>
  </si>
  <si>
    <t>Финансовое управление Администрации ЗАТО Железногорск (на возмещение затрат МП "ОТРП", связанных с опубликованием муниципальных правовых актов , обсуждением проектов муниципальных правовых актов по вопросам местного значения, доведением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в соответствии с соглашением заключенным с Администрацией ЗАТО Железногорск)</t>
  </si>
  <si>
    <t>340 00 10</t>
  </si>
  <si>
    <t>Администрация ЗАТО г.Железногорск</t>
  </si>
  <si>
    <t>Администрация ЗАТО г.Железногорск (расходы за счет субвенции на осуществление государствных полномочий по составлению (изменению, дополнений) списков кандидатов в присяжные заседатели федеральных судов общей юрисдикции в РФ)</t>
  </si>
  <si>
    <t>Управление образования  (расходы за счет остатка субвенции 2006 года на развитие социальной и инженерной инфраструктуры)</t>
  </si>
  <si>
    <t>Администрация ЗАТО г.Железногорск (расходы на муниципальную программу молодежной политики ЗАТО Железногорск на 2007 год)</t>
  </si>
  <si>
    <t>Администрация ЗАТО г.Железногорск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обеспечению детей первого и второго года жизни специальными молочными продуктами детского питания)</t>
  </si>
  <si>
    <t xml:space="preserve">Администрация ЗАТО г.Железногорск (расходы за счет средств местного бюджета на  обеспечение детей первого и второго года жизни специальными молочными продуктами детского питания) </t>
  </si>
  <si>
    <t>Администрация ЗАТО г.Железногорск (расходы на реализацию программы "Обеспечение жильем молодых семей в ЗАТО Железногорск на 2006 - 2008 годы")</t>
  </si>
  <si>
    <t>МУ "Управление капитального строительства" (софинансирование на изготовление проектно-сметной документации на реконструкцию здравпунктов поселков Тартат, Новый путь, Додоново, Шивера за счет средств местного бюджета)</t>
  </si>
  <si>
    <t>200</t>
  </si>
  <si>
    <t>238</t>
  </si>
  <si>
    <t>239</t>
  </si>
  <si>
    <t>МОУ "Детский дом"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</si>
  <si>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440 00 02</t>
  </si>
  <si>
    <t>178</t>
  </si>
  <si>
    <t>179</t>
  </si>
  <si>
    <t>180</t>
  </si>
  <si>
    <t>181</t>
  </si>
  <si>
    <t>182</t>
  </si>
  <si>
    <t>183</t>
  </si>
  <si>
    <t>185</t>
  </si>
  <si>
    <t>186</t>
  </si>
  <si>
    <t>Управление образования (субсидия на устройство быстровозводимых крытых спортивных площадок на территории образовательных учреждений)</t>
  </si>
  <si>
    <t>Управление городского хозяйства (содержание муниципального жилого фонда)</t>
  </si>
  <si>
    <t>Управление образования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</si>
  <si>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420 00 12</t>
  </si>
  <si>
    <t>421 00 14</t>
  </si>
  <si>
    <t>421 00 15</t>
  </si>
  <si>
    <t>351 00 16</t>
  </si>
  <si>
    <t>351 00 17</t>
  </si>
  <si>
    <r>
      <t xml:space="preserve">Управление городского хозяйства (софинансирование </t>
    </r>
    <r>
      <rPr>
        <sz val="12"/>
        <color indexed="10"/>
        <rFont val="Times New Roman"/>
        <family val="1"/>
      </rPr>
      <t>на реализацию мероприятий, направленных на повышение эксплуатационной надежности объектов жизнеобеспечения за счет средств местного бюджета</t>
    </r>
    <r>
      <rPr>
        <sz val="12"/>
        <rFont val="Times New Roman"/>
        <family val="1"/>
      </rPr>
      <t xml:space="preserve">) </t>
    </r>
  </si>
  <si>
    <r>
      <t>Управление городского хозяйства (</t>
    </r>
    <r>
      <rPr>
        <sz val="12"/>
        <color indexed="10"/>
        <rFont val="Times New Roman"/>
        <family val="1"/>
      </rPr>
      <t>субсидия на реализацию мероприятий, направленная на повышение эксплуатационной надежности объектов жизнеобеспечения</t>
    </r>
    <r>
      <rPr>
        <sz val="12"/>
        <rFont val="Times New Roman"/>
        <family val="1"/>
      </rPr>
      <t>)</t>
    </r>
  </si>
  <si>
    <t>Расходы за счет субвенции на реализацию Закона края "О наделении органов местного самоуправления государственными полномочиями по исполнению функций комиссий по делам несовершеннолетних и защите их прав"</t>
  </si>
  <si>
    <t>Финансовое управление Администрации ЗАТО Железногорск (расходы на  возмещение затрат МП "ЖКХ", связанных с применением регулируемых цен на банные услуги)</t>
  </si>
  <si>
    <t xml:space="preserve">Администрация ЗАТО Железногорск (здравоохранение) </t>
  </si>
  <si>
    <t>УСЗН Администрации ЗАТО г.Железногорск (расходы за счет субвенции на оказание единовременной адресной материальной помощи гражданам, находящимся в трудной жизненной ситуации, в размере не более 5,0 тыс.рублей на человека на основании решений органов местного самоуправления муниципальных районов и городский округов края)</t>
  </si>
  <si>
    <t>УСЗН Администрации ЗАТО г.Железногорск (расходы за счет субвенции на доплату к пенсии по случаю потери кормильца детям военнослужащих, погибших (умерших) в период прохождения военной службы, в соответствии с Законом края от 20.12.05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t>
  </si>
  <si>
    <t>УСЗН Администрации ЗАТО г.Железногорск (расходы за счет субвенции для обеспечения компенсационных выплат родителям или опекунам, фактически осуществляющим воспитание детей от 1,5 до 3 лет на дому, состоящих на учете в муниципальных органах управления образования для определения в дошкольные образовательные учреждения)</t>
  </si>
  <si>
    <t>УСЗН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в части финансирования расходов на ежемесячную денежную выплату семьям с детьми, в которых родители инвалиды)</t>
  </si>
  <si>
    <t>Управление городского хозяйства (текущее содержание и ремонт тротуаров и дорог)</t>
  </si>
  <si>
    <t>Управление образования (субсидия на выполнение ремонтно-строительных работ по устройству спортивных дворов общеобразовательных учреждений)</t>
  </si>
  <si>
    <t xml:space="preserve">421 00 16 </t>
  </si>
  <si>
    <t>Финансовое управление Администрации ЗАТО Железногорск (процентные платежи по муниципальному долгу)</t>
  </si>
  <si>
    <t>КУМИ ЗАТО Железногорск (взнос в уставный капитал МУ "Управление имущественным комплексом")</t>
  </si>
  <si>
    <t>102 00 12</t>
  </si>
  <si>
    <t>216</t>
  </si>
  <si>
    <t>187</t>
  </si>
  <si>
    <t>188</t>
  </si>
  <si>
    <t>189</t>
  </si>
  <si>
    <t>190</t>
  </si>
  <si>
    <t>505 00 30</t>
  </si>
  <si>
    <t>192</t>
  </si>
  <si>
    <t>Субсидии  на частичное финансирование (возмещение) расходов на оплату труда муниципальных служащих</t>
  </si>
  <si>
    <t>001 00 14</t>
  </si>
  <si>
    <t>420 00 13</t>
  </si>
  <si>
    <t xml:space="preserve">471 00 02 </t>
  </si>
  <si>
    <t>351 00 15</t>
  </si>
  <si>
    <t>Управление городского хозяйства</t>
  </si>
  <si>
    <t>202 00 10</t>
  </si>
  <si>
    <t>505 00 31</t>
  </si>
  <si>
    <t>505 00 32</t>
  </si>
  <si>
    <t>600 00 00</t>
  </si>
  <si>
    <t>Управление городского хозяйства (освещение)</t>
  </si>
  <si>
    <t>Управление городского хозяйства (озеленение)</t>
  </si>
  <si>
    <t>Управление городского хозяйства (организация и содержание мест захоронения)</t>
  </si>
  <si>
    <t xml:space="preserve">478 00 11 </t>
  </si>
  <si>
    <t>795 00 10</t>
  </si>
  <si>
    <t>795 00 11</t>
  </si>
  <si>
    <t>КУМИ ЗАТО Железногорск (расходы за счет субвенции на развитие социальной и инженерной инфраструктуры в 2007 году)</t>
  </si>
  <si>
    <t>Управление городского хозяйства (расходы за счет субвенции на развитие социальной и инженерной инфраструктуры в 2007 году)</t>
  </si>
  <si>
    <t>795 00 12</t>
  </si>
  <si>
    <t>795 00 13</t>
  </si>
  <si>
    <t>795 00 14</t>
  </si>
  <si>
    <t>КУМИ ЗАТО Железногорск  (субсидия на приобретение современного медицинского оборудования, автотранспорта для  ЦМСЧ-51)</t>
  </si>
  <si>
    <t>Финансовое управление Администрации ЗАТО Железногорск (исполнение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</si>
  <si>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Управление образования (расходы за счет субвенции на развитие социальной и инженерной инфраструктуры в 2007 году)</t>
  </si>
  <si>
    <t>1001</t>
  </si>
  <si>
    <t>Пенсионное обеспечение</t>
  </si>
  <si>
    <t>452 00 04</t>
  </si>
  <si>
    <t xml:space="preserve">600 00 11 </t>
  </si>
  <si>
    <t xml:space="preserve">600 00 10 </t>
  </si>
  <si>
    <t>001 00 15</t>
  </si>
  <si>
    <t>350 00 10</t>
  </si>
  <si>
    <t>КУМИ ЗАТО Железногорск  (расходы за счет субвенции на развитие социальной и инженерной инфраструктуры в 2007 году)</t>
  </si>
  <si>
    <t xml:space="preserve"> МУК ДК</t>
  </si>
  <si>
    <t>490 00 10</t>
  </si>
  <si>
    <t>МУК ДК (расходы за счет субвенции на развитие социальной и инженерной инфраструктуры в 2007 году)</t>
  </si>
  <si>
    <t>Совет депутатов ЗАТО г.Железногорск</t>
  </si>
  <si>
    <t>УСЗН Администрации ЗАТО г.Железногорск (расходы на реализацию Программы "Об установлении мер социальной поддержки отдельных категорий граждан населения ЗАТО Железногорск на 2007 год")</t>
  </si>
  <si>
    <t>469 00 14</t>
  </si>
  <si>
    <t>УСЗН Администрации ЗАТО г.Железногорск (расходы на реализацию Программы ЗАТО Железногорск "Старшее поколение" на 2007 - 2009 годы)</t>
  </si>
  <si>
    <t>469 00 13</t>
  </si>
  <si>
    <t>УСЗН Администрации ЗАТО г.Железногорск (расходы на реализацию Программы ЗАТО Железногорск "Организация питания учащихся муниципальных образовательных учреждений из семей со среднедушевым доходом ниже величины прожиточного минимума, установленного в Красноярском крае в расчете на душу населения по группам территорий края на 2007 год")</t>
  </si>
  <si>
    <t>УСЗН Администрации ЗАТО г.Железногорск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</si>
  <si>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УСЗН Администрации ЗАТО г.Железногорск (расходы на содержание отдела жилищных субсидий)</t>
  </si>
  <si>
    <t>УСЗН Администрации ЗАТО г.Железногорск (субсидий на оплату жилого помещения и коммунальных услуг гражданам, являющимся нанимателями жилых помещений в общежитиях муниципального жилищного фонда)</t>
  </si>
  <si>
    <t>УСЗН Администрации ЗАТО г.Железногорск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ежемесячные денежные выплаты на проезд детей школьного возраста в размере 70 рублей)</t>
  </si>
  <si>
    <t>УСЗН Администрации ЗАТО г.Железногорск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выплату ежегодного пособия на ребенка школьного возраста в размере 1000 рублей)</t>
  </si>
  <si>
    <t>УСЗН Администрации ЗАТО г.Железногорск (расходы за счет субвенции на финансирование расходов с предоставлением отдельным категориям граждан мер социальной поддержки, установленных законодательством РФ, в форме субсидий для оплаты жилья и коммунальных услуг в соответствии с Законом края от 27.12.05 №17-4395)</t>
  </si>
  <si>
    <t>УСЗН Администрации ЗАТО г.Железногорск (расходы за счет субвенции на реализацию Закона края от 27.12.05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t>
  </si>
  <si>
    <t>УСЗН Администрации ЗАТО г.Железногорск (расходы за счет субвенции бюджетам муниципальных образований края, направляемые в 2007 году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</si>
  <si>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УСЗН Администрации ЗАТО г.Железногорск (расходы за счет субвенции на реализацию Закона края от 20.12.05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</si>
  <si>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УСЗН Администрации ЗАТО г.Железногорск (расходы за счет субвенции на реализацию Закона края от 20.12.05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реалибилитированных лиц и лиц, признанных пострадавшими от политических репрессий", за исключением льгот по оплате жилищно-коммунальных услуг)</t>
  </si>
  <si>
    <t>УСЗН Администрации ЗАТО г.Железногорск (расходы за счет субвенции на оказание единовременной адресной материальной помощи одиноким пенсионерам на текущий ремонт жилья по фактическим ценам, но не более 5,0 тыс.руб.)</t>
  </si>
  <si>
    <t>УСЗН Администрации ЗАТО г.Железногорск (расходы за счет субвенции на предоставление субсидий  гражданам в качестве помощи для оплаты жилья и коммунальных услуг с учетом их доходов в соответствии со ст.11 Закона края "О социальной поддержке населения при оплате жилья и коммунальных услуг")</t>
  </si>
  <si>
    <t>221</t>
  </si>
  <si>
    <t>222</t>
  </si>
  <si>
    <t>223</t>
  </si>
  <si>
    <t>224</t>
  </si>
  <si>
    <t>225</t>
  </si>
  <si>
    <t>226</t>
  </si>
  <si>
    <t>227</t>
  </si>
  <si>
    <t>228</t>
  </si>
  <si>
    <t>229</t>
  </si>
  <si>
    <t>230</t>
  </si>
  <si>
    <t>231</t>
  </si>
  <si>
    <t>232</t>
  </si>
  <si>
    <t>233</t>
  </si>
  <si>
    <t>234</t>
  </si>
  <si>
    <t>236</t>
  </si>
  <si>
    <t>237</t>
  </si>
  <si>
    <t>МОУ ДОД "ДШИ им. Мусоргского" (расходы за счет субвенции на развитие социальной и инженерной инфраструктуры в 2007 году)</t>
  </si>
  <si>
    <t>423 00 01</t>
  </si>
  <si>
    <t>МОУ ДОД "ДХШ" (расходы за счет субвенции на развитие социальной и инженерной инфраструктуры в 2007 году)</t>
  </si>
  <si>
    <t>МОУ ДОД "Детская школа искусств № 2" (расходы за счет субвенции на развитие социальной и инженерной инфраструктуры в 2007 году)</t>
  </si>
  <si>
    <t>МУК "ПКиО" (расходы за счет субвенции на развитие социальной и инженерной инфраструктуры в 2007 году)</t>
  </si>
  <si>
    <t>МУК ЦГБ им. Горького  (расходы за счет субвенции на развитие социальной и инженерной инфраструктуры в 2007 году)</t>
  </si>
  <si>
    <t>МУК Театр оперетты  (расходы за счет субвенции на развитие социальной и инженерной инфраструктуры в 2007 году)</t>
  </si>
  <si>
    <t>МУК МВЦ  (расходы за счет субвенции на развитие социальной и инженерной инфраструктуры в 2007 году)</t>
  </si>
  <si>
    <t>МУК ЦГДБ им. Гайдара   (расходы за счет субвенции на развитие социальной и инженерной инфраструктуры в 2007 году)</t>
  </si>
  <si>
    <t xml:space="preserve"> МУК театр кукол " Золотой ключик "  (расходы за счет субвенции на развитие социальной и инженерной инфраструктуры в 2007 году)</t>
  </si>
  <si>
    <t xml:space="preserve"> МУК ДК "Старт" (расходы за счет субвенции на развитие социальной и инженерной инфраструктуры в 2007 году)</t>
  </si>
  <si>
    <t>МУ "Управление капитального строительства" (субсидия для осуществления реконструкции здравпунктов поселков Тартат, Новый путь, Додоново, Шивера)</t>
  </si>
  <si>
    <t>505 00 33</t>
  </si>
  <si>
    <t>Управление городского хозяйства (компенсация выпадающих доходов организациям, предоставляющим населению жилищные услуги по тарифам, не обеспечивающим возмещение издержек)</t>
  </si>
  <si>
    <t>Управление городского хозяйства (компенсация выпадающих доходов организациям, предоставляющим населению услуги теплоснабжения по тарифам, не обеспечивающим возмещение издержек)</t>
  </si>
  <si>
    <t>198</t>
  </si>
  <si>
    <t>199</t>
  </si>
  <si>
    <t>201</t>
  </si>
  <si>
    <t>202</t>
  </si>
  <si>
    <t>203</t>
  </si>
  <si>
    <t>204</t>
  </si>
  <si>
    <t>205</t>
  </si>
  <si>
    <t>206</t>
  </si>
  <si>
    <t>207</t>
  </si>
  <si>
    <t>208</t>
  </si>
  <si>
    <t>209</t>
  </si>
  <si>
    <t>210</t>
  </si>
  <si>
    <t>212</t>
  </si>
  <si>
    <t>213</t>
  </si>
  <si>
    <t>214</t>
  </si>
  <si>
    <t>215</t>
  </si>
  <si>
    <t>217</t>
  </si>
  <si>
    <t>218</t>
  </si>
  <si>
    <t>219</t>
  </si>
  <si>
    <t>795 00 15</t>
  </si>
  <si>
    <t>423 00 02</t>
  </si>
  <si>
    <t>795 00 16</t>
  </si>
  <si>
    <t>МУ "Управление капитального строительства" (капитальный ремонт УВД)</t>
  </si>
  <si>
    <t>МУ "Управление капитального строительства" (жилищное строительство) (остаток субвенции 2005 года)</t>
  </si>
  <si>
    <t>МУ "Управление капитального строительства" (коммунальное строительство) (остаток субвенции 2005 года)</t>
  </si>
  <si>
    <t>МУ "Управление капитального строительства" (ремонт здания бани)</t>
  </si>
  <si>
    <t>МУ "Управление капитального строительства" (капитальный ремонт д/к 13,31,60)</t>
  </si>
  <si>
    <t>МУ "Управление капитального строительства" (капитальный ремонт школ 95,103)</t>
  </si>
  <si>
    <t>МУ "Управление капитального строительства"(кап.ремонт инфекционного корпуса)</t>
  </si>
  <si>
    <t>МУ "Управление капитального строительства" (капитальный ремонт спорт.сооружений)</t>
  </si>
  <si>
    <t>470 00 10</t>
  </si>
  <si>
    <t>477 00 10</t>
  </si>
  <si>
    <t>469 00 12</t>
  </si>
  <si>
    <t xml:space="preserve">478 00 10 </t>
  </si>
  <si>
    <t>МУ "Управление имущественным комплексом Железногорской кондитерской фабрики"</t>
  </si>
  <si>
    <t>803</t>
  </si>
  <si>
    <t>801</t>
  </si>
  <si>
    <t>Управление образования (субсидии на осуществление социально-значимых расходов капитального характера)</t>
  </si>
  <si>
    <t>субвенция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t>
  </si>
  <si>
    <t>УСЗН Администрации ЗАТО Железногорск (расходы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 реализующие основную общеобразовательную программу дошкольного образования)</t>
  </si>
  <si>
    <t xml:space="preserve">442 00 11 </t>
  </si>
  <si>
    <t>27</t>
  </si>
  <si>
    <t>37</t>
  </si>
  <si>
    <t>38</t>
  </si>
  <si>
    <t>39</t>
  </si>
  <si>
    <t>40</t>
  </si>
  <si>
    <t>41</t>
  </si>
  <si>
    <t>42</t>
  </si>
  <si>
    <t>43</t>
  </si>
  <si>
    <t>68</t>
  </si>
  <si>
    <t>147</t>
  </si>
  <si>
    <t>Средства к распределению при фактическом поступлении возвратов кредитов на развитие материально-технической базы муниципальных предприятий и учреждений</t>
  </si>
  <si>
    <t>161</t>
  </si>
  <si>
    <t>290 00 01</t>
  </si>
  <si>
    <t>317 00 01</t>
  </si>
  <si>
    <t>310 00 01</t>
  </si>
  <si>
    <t>351 00 01</t>
  </si>
  <si>
    <t>351 00 02</t>
  </si>
  <si>
    <t>351 00 03</t>
  </si>
  <si>
    <t>512 00 01</t>
  </si>
  <si>
    <t>505 00 27</t>
  </si>
  <si>
    <t>505 00 28</t>
  </si>
  <si>
    <t>МУ "Управление капитального строительства" (расходы за счет  субвенции 2007 года на развитие социальной и инженерной инфраструктуры)</t>
  </si>
  <si>
    <t>102 00 11</t>
  </si>
  <si>
    <t xml:space="preserve">351 00 14 </t>
  </si>
  <si>
    <t xml:space="preserve">420 00 11 </t>
  </si>
  <si>
    <t xml:space="preserve">421 00 13 </t>
  </si>
  <si>
    <t xml:space="preserve">423 00 01 </t>
  </si>
  <si>
    <t xml:space="preserve">440 00 01 </t>
  </si>
  <si>
    <t xml:space="preserve">471 00 01 </t>
  </si>
  <si>
    <t xml:space="preserve">482 00 01 </t>
  </si>
  <si>
    <t xml:space="preserve">441 00 01 </t>
  </si>
  <si>
    <t xml:space="preserve">443 00 01 </t>
  </si>
  <si>
    <t>162</t>
  </si>
  <si>
    <t>163</t>
  </si>
  <si>
    <t>164</t>
  </si>
  <si>
    <t>165</t>
  </si>
  <si>
    <t>166</t>
  </si>
  <si>
    <t>167</t>
  </si>
  <si>
    <t>168</t>
  </si>
  <si>
    <t>169</t>
  </si>
  <si>
    <t>170</t>
  </si>
  <si>
    <t>171</t>
  </si>
  <si>
    <t>172</t>
  </si>
  <si>
    <t>173</t>
  </si>
  <si>
    <t xml:space="preserve"> МУ "Дом-интернат для престарелых и инвалидов" (расходы за счет субвенции бюджетам муниципальных образований края, на содержание учреждений социального обслуживания населения, в соответствии Законом края "О наделении органов местного самоуправления муници</t>
  </si>
  <si>
    <t>КУМИ ЗАТО Железногорск (обеспечение приватизации и проведение предпродажной подготовки объектов приватизации)</t>
  </si>
  <si>
    <t>УВД МВД России в г. Железногорск  всего, в том числе:</t>
  </si>
  <si>
    <t xml:space="preserve">Управление по делам ГО и ЧС ЗАТО г. Железногорск </t>
  </si>
  <si>
    <t>Управление ОБ и режима администрации ЗАТО г. Железногорск</t>
  </si>
  <si>
    <t>Управление городского хозяйства (лесоохранные и лесовосстановительные мероприятия)</t>
  </si>
  <si>
    <t>Управление городского хозяйства (организация пассажирских перевозок)</t>
  </si>
  <si>
    <t>Управление городского хозяйства (водный транспорт )</t>
  </si>
  <si>
    <t>КУМИ ЗАТО Железногорск</t>
  </si>
  <si>
    <t>КУМИ ЗАТО Железногорск (содержание муниципального жилого фонда)</t>
  </si>
  <si>
    <t>Управление городского хозяйства (благоустройство)</t>
  </si>
  <si>
    <t>Управление городского хозяйства (возмещение выпадающих доходов, в соответствии с приказом ФСТ)</t>
  </si>
  <si>
    <t>Управление городского хозяйства (расходы на программу "Обеспечение контроля за санитарно-эпидемиологическим, радиационным и экологическим состоянием территории ЗАТО Железногорск на 2007-2009 годы)</t>
  </si>
  <si>
    <t xml:space="preserve">Управление образования </t>
  </si>
  <si>
    <t>МОУ ДОД "Детская школа искусств № 2"</t>
  </si>
  <si>
    <t>МОУ ДОД "ДХШ"</t>
  </si>
  <si>
    <t>МОУ ДОД "ДШИ им. Мусоргского"</t>
  </si>
  <si>
    <t>Управление образования (летняя компания)</t>
  </si>
  <si>
    <t>Управление образования (прочие расходы)</t>
  </si>
  <si>
    <t>Управление образования (расходы за счет предпринимательской деятельности)</t>
  </si>
  <si>
    <t xml:space="preserve"> МУК МВЦ</t>
  </si>
  <si>
    <t xml:space="preserve"> МУК Театр оперетты</t>
  </si>
  <si>
    <t>МУК "ПКиО"</t>
  </si>
  <si>
    <t>МУК ЦД</t>
  </si>
  <si>
    <t>МУК МВЦ (субсидия на мероприятия, предусмотренные краевой целевой программой "Культура Красноярья" на 2007-2009 годы)</t>
  </si>
  <si>
    <t>КУМИ ЗАТО Железногорск  (приобретение медицинского оборудования для родильного дома)</t>
  </si>
  <si>
    <t>КУМИ ЗАТО Железногорск  (приобретение медицинского оборудования для скорой медицинской помощи)</t>
  </si>
  <si>
    <t xml:space="preserve">МУ "ЦСО" </t>
  </si>
  <si>
    <t>МУ "ЦСО"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</si>
  <si>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МУ "ЦСПС и Д"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</si>
  <si>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КУМИ ЗАТО Железногорск (субвенция на переселение граждан)</t>
  </si>
  <si>
    <t>КУМИ ЗАТО Железногорск (субвенция на переселение - остаток прошлых лет)</t>
  </si>
  <si>
    <t>УСЗН Администрации ЗАТО Железногорск (расходы за счет субвенции на предоставление субсидий для оплаты жилья и коммунальных услуг отдельным категориям граждан в части полномочий субъектов РФ)</t>
  </si>
  <si>
    <t xml:space="preserve">351 00 12 </t>
  </si>
  <si>
    <t>Управление социальной защиты населения администрации ЗАТО Железногорск (расходы за счет субвенции бюджетам муниципальных образований края, направляемые в 2006 году на оплату жилищно-коммунальных услуг отдельным категориям граждан в соответствии Законом Ро</t>
  </si>
  <si>
    <t>102 00 10</t>
  </si>
  <si>
    <t>351 00 11</t>
  </si>
  <si>
    <t>452 00 03</t>
  </si>
  <si>
    <t>442 00 10</t>
  </si>
  <si>
    <t>482 00 10</t>
  </si>
  <si>
    <t>МУ "Управление капитального строительства" (расходы за счет остатка субвенции 2006 года на развитие социальной и инженерной инфраструктуры)</t>
  </si>
  <si>
    <t>350 00 11</t>
  </si>
  <si>
    <t>350 00 12</t>
  </si>
  <si>
    <t>63</t>
  </si>
  <si>
    <t>73</t>
  </si>
  <si>
    <t>75</t>
  </si>
  <si>
    <t>76</t>
  </si>
  <si>
    <t>112</t>
  </si>
  <si>
    <t>123</t>
  </si>
  <si>
    <t>130</t>
  </si>
  <si>
    <t>133</t>
  </si>
  <si>
    <t>137</t>
  </si>
  <si>
    <t>140</t>
  </si>
  <si>
    <t>142</t>
  </si>
  <si>
    <t>149</t>
  </si>
  <si>
    <t>150</t>
  </si>
  <si>
    <t>157</t>
  </si>
  <si>
    <t>160</t>
  </si>
  <si>
    <t>МП "ГЖКУ" (субсидия на возмещение выпадающих доходов)</t>
  </si>
  <si>
    <t>МП  "Гортеплоэнерго" (субсидия на возмещение выпадающих доходов)</t>
  </si>
  <si>
    <t>420 00 10</t>
  </si>
  <si>
    <t>Наименование  расходов</t>
  </si>
  <si>
    <t>Коммунальное хозяйство</t>
  </si>
  <si>
    <t xml:space="preserve">Образование </t>
  </si>
  <si>
    <t xml:space="preserve">Социальная политика </t>
  </si>
  <si>
    <t>ВСЕГО РАСХОДОВ</t>
  </si>
  <si>
    <t>КЦСР</t>
  </si>
  <si>
    <t>Органы внутренних дел</t>
  </si>
  <si>
    <t xml:space="preserve"> Жилищное хозяйство</t>
  </si>
  <si>
    <t xml:space="preserve">Жилищно - коммунальное хозяйство </t>
  </si>
  <si>
    <t>Дошкольное образование</t>
  </si>
  <si>
    <t>Общее образование</t>
  </si>
  <si>
    <t>школы</t>
  </si>
  <si>
    <t>внешкольная работа</t>
  </si>
  <si>
    <t>260</t>
  </si>
  <si>
    <t>261</t>
  </si>
  <si>
    <t xml:space="preserve"> МУК театр кукол " Золотой ключик "</t>
  </si>
  <si>
    <t xml:space="preserve">Здравоохранение </t>
  </si>
  <si>
    <t>327</t>
  </si>
  <si>
    <t>Периодическая печать и издательства</t>
  </si>
  <si>
    <t>027</t>
  </si>
  <si>
    <t>Комитет по физкультуре и спорту администрации ЗАТО г. Железногорск</t>
  </si>
  <si>
    <t>Территориальная избирательная комиссия г. Железногорск</t>
  </si>
  <si>
    <t xml:space="preserve"> МУК ЦГБ им. Горького </t>
  </si>
  <si>
    <t>Общегосударственные вопросы</t>
  </si>
  <si>
    <t>0302</t>
  </si>
  <si>
    <t>0300</t>
  </si>
  <si>
    <t>0309</t>
  </si>
  <si>
    <t>0400</t>
  </si>
  <si>
    <t>Национальная экономика</t>
  </si>
  <si>
    <t>0407</t>
  </si>
  <si>
    <t>Лесное хозяйство</t>
  </si>
  <si>
    <t>0408</t>
  </si>
  <si>
    <t>Транспорт</t>
  </si>
  <si>
    <t>0500</t>
  </si>
  <si>
    <t>0501</t>
  </si>
  <si>
    <t>0502</t>
  </si>
  <si>
    <t>0700</t>
  </si>
  <si>
    <t>0701</t>
  </si>
  <si>
    <t>0702</t>
  </si>
  <si>
    <t>0707</t>
  </si>
  <si>
    <t>Молодежная политика и оздоровление детей</t>
  </si>
  <si>
    <t>0709</t>
  </si>
  <si>
    <t>Другие вопросы в области образования</t>
  </si>
  <si>
    <t>0800</t>
  </si>
  <si>
    <t>Культура, кинематография и средства массовой информации</t>
  </si>
  <si>
    <t>0900</t>
  </si>
  <si>
    <t>0901</t>
  </si>
  <si>
    <t>0902</t>
  </si>
  <si>
    <t xml:space="preserve">Спорт и физическая культура </t>
  </si>
  <si>
    <t>0107</t>
  </si>
  <si>
    <t>0113</t>
  </si>
  <si>
    <t>1000</t>
  </si>
  <si>
    <t>1002</t>
  </si>
  <si>
    <t>1003</t>
  </si>
  <si>
    <t>0804</t>
  </si>
  <si>
    <t>0100</t>
  </si>
  <si>
    <t>0103</t>
  </si>
  <si>
    <t>Функционирование законодательных (представительных) органов государственной власти и местного самоуправления</t>
  </si>
  <si>
    <t>КВР</t>
  </si>
  <si>
    <t>КФСР</t>
  </si>
  <si>
    <t>026</t>
  </si>
  <si>
    <t>0104</t>
  </si>
  <si>
    <t>Функционирование Правительства Российской Федерации, высших органов исполнительной власти субъекта Российской Федерации, местных администраций</t>
  </si>
  <si>
    <t>0106</t>
  </si>
  <si>
    <t>Обеспечение деятельности финансовых, налоговых  и таможенных органов и органов надзора</t>
  </si>
  <si>
    <t>Обеспечение проведения выборов и референдумов</t>
  </si>
  <si>
    <t>092</t>
  </si>
  <si>
    <t>097</t>
  </si>
  <si>
    <t>184</t>
  </si>
  <si>
    <t>0115</t>
  </si>
  <si>
    <t>Другие общегосударственные вопросы</t>
  </si>
  <si>
    <t>452</t>
  </si>
  <si>
    <t>0801</t>
  </si>
  <si>
    <t xml:space="preserve">Культура </t>
  </si>
  <si>
    <t>453</t>
  </si>
  <si>
    <t>Другие вопросы в области национальной экономики</t>
  </si>
  <si>
    <t>0411</t>
  </si>
  <si>
    <t>406</t>
  </si>
  <si>
    <t>001 00 00</t>
  </si>
  <si>
    <t>020 00 00</t>
  </si>
  <si>
    <t>070 00 00</t>
  </si>
  <si>
    <t>202 00 00</t>
  </si>
  <si>
    <t>219 00 00</t>
  </si>
  <si>
    <t xml:space="preserve">МУК ЦГДБ им. Гайдара </t>
  </si>
  <si>
    <t>340 00 00</t>
  </si>
  <si>
    <t>350 00 00</t>
  </si>
  <si>
    <t>351 00 00</t>
  </si>
  <si>
    <t>МУ "УКС" (капитальный ремонт)</t>
  </si>
  <si>
    <t>Возврат кредитов</t>
  </si>
  <si>
    <t>092 00 00</t>
  </si>
  <si>
    <t>440 00 00</t>
  </si>
  <si>
    <t>442 00 00</t>
  </si>
  <si>
    <t>443 00 00</t>
  </si>
  <si>
    <t>441 00 00</t>
  </si>
  <si>
    <t>452 00 00</t>
  </si>
  <si>
    <t>432 00 00</t>
  </si>
  <si>
    <t>421 00 00</t>
  </si>
  <si>
    <t>422 00 00</t>
  </si>
  <si>
    <t>423 00 00</t>
  </si>
  <si>
    <t>420 00 00</t>
  </si>
  <si>
    <t>Резервные фонды</t>
  </si>
  <si>
    <t>Предупреждение и ликвидация последствий чрезвычайных ситуаций и стихийных бедствий, гражданская оборона</t>
  </si>
  <si>
    <t>Здравоохранение и спорт</t>
  </si>
  <si>
    <t>197</t>
  </si>
  <si>
    <t>005</t>
  </si>
  <si>
    <t>Мероприятия по гражданской обороне</t>
  </si>
  <si>
    <t>Мероприятия по предупреждению и ликвидации последствий чрезвычайных ситуаций и стихийных бедствий</t>
  </si>
  <si>
    <t xml:space="preserve">Расходы на содержание и обеспечение деятельности </t>
  </si>
  <si>
    <t>вещевое довольствие</t>
  </si>
  <si>
    <t>продовольственное обеспечение</t>
  </si>
  <si>
    <t>военный персонал и сотрудники правоохранительных органов</t>
  </si>
  <si>
    <t>гражданский персонал</t>
  </si>
  <si>
    <t>обеспечение функционирования органов в сфере национальной безопасности и правоохранительной деятельности</t>
  </si>
  <si>
    <t>пособия и компенсации военнослужащим, приравненным к ним лицам, а также уволенным из их числа</t>
  </si>
  <si>
    <t>315 00 00</t>
  </si>
  <si>
    <t>0600</t>
  </si>
  <si>
    <t>Охрана окружающей среды</t>
  </si>
  <si>
    <t>Социальное обеспечение населения</t>
  </si>
  <si>
    <t xml:space="preserve">Национальная безопасность и правоохранительная деятельность </t>
  </si>
  <si>
    <t>351 00 10</t>
  </si>
  <si>
    <t>расходы за счет предпринимательской деятельности</t>
  </si>
  <si>
    <t>469 00 00</t>
  </si>
  <si>
    <t>455</t>
  </si>
  <si>
    <t>482 00 00</t>
  </si>
  <si>
    <t>Управление городского хозяйства администрации ЗАТО Железногорск (дорожно-мостовое хозяйство)</t>
  </si>
  <si>
    <t xml:space="preserve">476 00 00 </t>
  </si>
  <si>
    <t>477 00 00</t>
  </si>
  <si>
    <t>Администрация ЗАТО Железногорск</t>
  </si>
  <si>
    <t>Администрация ЗАТО Железногорск (резервный фонд)</t>
  </si>
  <si>
    <t>001 00 10</t>
  </si>
  <si>
    <t>421 00 10</t>
  </si>
  <si>
    <t>424 00 10</t>
  </si>
  <si>
    <t>457 00 10</t>
  </si>
  <si>
    <t>469 00 10</t>
  </si>
  <si>
    <t>0602</t>
  </si>
  <si>
    <t>Охрана растительных и животных видов и среды их обитания</t>
  </si>
  <si>
    <t>410 00 00</t>
  </si>
  <si>
    <t>421 00 01</t>
  </si>
  <si>
    <t>Социальное обслуживание населения</t>
  </si>
  <si>
    <t>501 00 11</t>
  </si>
  <si>
    <t>506 00 11</t>
  </si>
  <si>
    <t>Расходы за счет средств местного бюджета на питание школьников</t>
  </si>
  <si>
    <t>Функционирование высшего должностного лица субъекта Российской Федерации и органа местного самоуправления</t>
  </si>
  <si>
    <t>0102</t>
  </si>
  <si>
    <t>Глава муниципального образования</t>
  </si>
  <si>
    <t>010</t>
  </si>
  <si>
    <t>Председатель представительного органа муниципального образования</t>
  </si>
  <si>
    <t>0105</t>
  </si>
  <si>
    <t>Судебная система</t>
  </si>
  <si>
    <t>070</t>
  </si>
  <si>
    <t>0904</t>
  </si>
  <si>
    <t>Другие вопросы в области здравоохранения и спорта</t>
  </si>
  <si>
    <t>1006</t>
  </si>
  <si>
    <t>Другие вопросы в области социальной политики</t>
  </si>
  <si>
    <t>452 00 01</t>
  </si>
  <si>
    <t>452 00 02</t>
  </si>
  <si>
    <t>411</t>
  </si>
  <si>
    <t>422 00 10</t>
  </si>
  <si>
    <t>505 00 09</t>
  </si>
  <si>
    <t>505 00 13</t>
  </si>
  <si>
    <t>505 00 14</t>
  </si>
  <si>
    <t>505 00 15</t>
  </si>
  <si>
    <t>505 00 20</t>
  </si>
  <si>
    <t>505 00 21</t>
  </si>
  <si>
    <t>505 00 23</t>
  </si>
  <si>
    <t>469 00 11</t>
  </si>
  <si>
    <t>505 00 12</t>
  </si>
  <si>
    <t>431 00 00</t>
  </si>
  <si>
    <t>Депутаты представительного органа муниципального образования</t>
  </si>
  <si>
    <t>Члены избирательной комиссии муниципального образования</t>
  </si>
  <si>
    <t>Проведение выборов в представительные органы муниципального образования</t>
  </si>
  <si>
    <t xml:space="preserve"> вносимые изменения, тыс.руб.</t>
  </si>
  <si>
    <t>МУ "УКС" (капитальный ремонт) (остаток субвенции 2005 года)</t>
  </si>
  <si>
    <t>443 00 02</t>
  </si>
  <si>
    <t>482 00 01</t>
  </si>
  <si>
    <t>420 00 03</t>
  </si>
  <si>
    <t>506 00 00</t>
  </si>
  <si>
    <t>1</t>
  </si>
  <si>
    <t>2</t>
  </si>
  <si>
    <t>3</t>
  </si>
  <si>
    <t>4</t>
  </si>
  <si>
    <t>№ строки</t>
  </si>
  <si>
    <t>5</t>
  </si>
  <si>
    <t>6</t>
  </si>
  <si>
    <t>7</t>
  </si>
  <si>
    <t>8</t>
  </si>
  <si>
    <t>9</t>
  </si>
  <si>
    <t>10</t>
  </si>
  <si>
    <t>11</t>
  </si>
  <si>
    <t>12</t>
  </si>
  <si>
    <t>13</t>
  </si>
  <si>
    <t>14</t>
  </si>
  <si>
    <t>15</t>
  </si>
  <si>
    <t>16</t>
  </si>
  <si>
    <t>17</t>
  </si>
  <si>
    <t>18</t>
  </si>
  <si>
    <t>19</t>
  </si>
  <si>
    <t>20</t>
  </si>
  <si>
    <t>21</t>
  </si>
  <si>
    <t>22</t>
  </si>
  <si>
    <t>23</t>
  </si>
  <si>
    <t>24</t>
  </si>
  <si>
    <t>25</t>
  </si>
  <si>
    <t>26</t>
  </si>
  <si>
    <t>28</t>
  </si>
  <si>
    <t>29</t>
  </si>
  <si>
    <t>30</t>
  </si>
  <si>
    <t>31</t>
  </si>
  <si>
    <t>33</t>
  </si>
  <si>
    <t>34</t>
  </si>
  <si>
    <t>35</t>
  </si>
  <si>
    <t>36</t>
  </si>
  <si>
    <t>45</t>
  </si>
  <si>
    <t>46</t>
  </si>
  <si>
    <t>47</t>
  </si>
  <si>
    <t>48</t>
  </si>
  <si>
    <t>49</t>
  </si>
  <si>
    <t>50</t>
  </si>
  <si>
    <t>52</t>
  </si>
  <si>
    <t>53</t>
  </si>
  <si>
    <t>54</t>
  </si>
  <si>
    <t>55</t>
  </si>
  <si>
    <t>56</t>
  </si>
  <si>
    <t>57</t>
  </si>
  <si>
    <t>58</t>
  </si>
  <si>
    <t>59</t>
  </si>
  <si>
    <t>60</t>
  </si>
  <si>
    <t>61</t>
  </si>
  <si>
    <t>62</t>
  </si>
  <si>
    <t>64</t>
  </si>
  <si>
    <t>65</t>
  </si>
  <si>
    <t>66</t>
  </si>
  <si>
    <t>67</t>
  </si>
  <si>
    <t>69</t>
  </si>
  <si>
    <t>70</t>
  </si>
  <si>
    <t>71</t>
  </si>
  <si>
    <t>72</t>
  </si>
  <si>
    <t>74</t>
  </si>
  <si>
    <t>77</t>
  </si>
  <si>
    <t>78</t>
  </si>
  <si>
    <t>80</t>
  </si>
  <si>
    <t>81</t>
  </si>
  <si>
    <t>82</t>
  </si>
  <si>
    <t>83</t>
  </si>
  <si>
    <t>84</t>
  </si>
  <si>
    <t>85</t>
  </si>
  <si>
    <t>86</t>
  </si>
  <si>
    <t>87</t>
  </si>
  <si>
    <t>88</t>
  </si>
  <si>
    <t>89</t>
  </si>
  <si>
    <t>90</t>
  </si>
  <si>
    <t>91</t>
  </si>
  <si>
    <t>92</t>
  </si>
  <si>
    <t>93</t>
  </si>
  <si>
    <t>94</t>
  </si>
  <si>
    <t>95</t>
  </si>
  <si>
    <t>96</t>
  </si>
  <si>
    <t>97</t>
  </si>
  <si>
    <t>99</t>
  </si>
  <si>
    <t>100</t>
  </si>
  <si>
    <t>101</t>
  </si>
  <si>
    <t>102</t>
  </si>
  <si>
    <t>103</t>
  </si>
  <si>
    <t>104</t>
  </si>
  <si>
    <t>105</t>
  </si>
  <si>
    <t>106</t>
  </si>
  <si>
    <t>107</t>
  </si>
  <si>
    <t>108</t>
  </si>
  <si>
    <t>109</t>
  </si>
  <si>
    <t>110</t>
  </si>
  <si>
    <t>113</t>
  </si>
  <si>
    <t>114</t>
  </si>
  <si>
    <t>115</t>
  </si>
  <si>
    <t>116</t>
  </si>
  <si>
    <t>117</t>
  </si>
  <si>
    <t>118</t>
  </si>
  <si>
    <t>119</t>
  </si>
  <si>
    <t>120</t>
  </si>
  <si>
    <t>121</t>
  </si>
  <si>
    <t>122</t>
  </si>
  <si>
    <t>124</t>
  </si>
  <si>
    <t>125</t>
  </si>
  <si>
    <t>126</t>
  </si>
  <si>
    <t>127</t>
  </si>
  <si>
    <t>128</t>
  </si>
  <si>
    <t>129</t>
  </si>
  <si>
    <t>131</t>
  </si>
  <si>
    <t>134</t>
  </si>
  <si>
    <t>135</t>
  </si>
  <si>
    <t>136</t>
  </si>
  <si>
    <t>138</t>
  </si>
  <si>
    <t>139</t>
  </si>
  <si>
    <t>141</t>
  </si>
  <si>
    <t>143</t>
  </si>
  <si>
    <t>144</t>
  </si>
  <si>
    <t>145</t>
  </si>
  <si>
    <t>146</t>
  </si>
  <si>
    <t>148</t>
  </si>
  <si>
    <t>151</t>
  </si>
  <si>
    <t>152</t>
  </si>
  <si>
    <t>153</t>
  </si>
  <si>
    <t>154</t>
  </si>
  <si>
    <t>155</t>
  </si>
  <si>
    <t>156</t>
  </si>
  <si>
    <t>158</t>
  </si>
  <si>
    <t>159</t>
  </si>
  <si>
    <t>191</t>
  </si>
  <si>
    <t>193</t>
  </si>
  <si>
    <t>194</t>
  </si>
  <si>
    <t>195</t>
  </si>
  <si>
    <t>196</t>
  </si>
  <si>
    <t>211</t>
  </si>
  <si>
    <t>220</t>
  </si>
  <si>
    <t>0112</t>
  </si>
  <si>
    <t>Обслуживание государственного и муниципального долга</t>
  </si>
  <si>
    <t>Процентные платежи по долговым обязательствам</t>
  </si>
  <si>
    <t xml:space="preserve">065 00 00 </t>
  </si>
  <si>
    <t>МУ "УКС" (расходы за счет субвенции на развитие социальной и инженерной инфраструктуры в 2006 году)</t>
  </si>
  <si>
    <t>235</t>
  </si>
  <si>
    <t>218 00 00</t>
  </si>
  <si>
    <t>98</t>
  </si>
  <si>
    <t>505 00 10</t>
  </si>
  <si>
    <t>505 00 11</t>
  </si>
  <si>
    <t>795 00 00</t>
  </si>
  <si>
    <t>102 00 01</t>
  </si>
  <si>
    <t>440 00 03</t>
  </si>
  <si>
    <t>111</t>
  </si>
  <si>
    <t>470 00 00</t>
  </si>
  <si>
    <t>МУ "УКС" (кредиторская задолженность по состоянию на 01.01.2006 года на капитальное строительство дома 9/6 в п.Подгорный) (ПР) (В)</t>
  </si>
  <si>
    <t>МУ "УКС" (кредиторская задолженность по состоянию на 01.01.2006 года на капитальный ремонт д/к № 54) (ПР) (В)</t>
  </si>
  <si>
    <t>442 00 03</t>
  </si>
  <si>
    <t>МУ "УКС" (капитальный ремонт) (ПР) (В)</t>
  </si>
  <si>
    <t>79</t>
  </si>
  <si>
    <t xml:space="preserve"> расходы на 2007 год, тыс.руб.</t>
  </si>
  <si>
    <t>школы (расходы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t>
  </si>
  <si>
    <t>Расходы за счет субвенции на реализацию государственных полномочий по обеспечению питанием детей, обучающихся в муниципальных общеобразовательных учреждениях без взимания платы в соответствии с Законом края "О защите прав ребенка".</t>
  </si>
  <si>
    <t>Финансовое управление Администрации ЗАТО Железногорск</t>
  </si>
  <si>
    <t>МУ "Управление капитального строительства"</t>
  </si>
  <si>
    <t xml:space="preserve"> МУК ДК "Старт"</t>
  </si>
  <si>
    <t>школы-интернаты</t>
  </si>
  <si>
    <t>521</t>
  </si>
  <si>
    <t>Администрация ЗАТО Железногорск (расходы на программу развития малого предпринимательства в ЗАТО Железногорск на 2007-2009 годы)</t>
  </si>
  <si>
    <t>Администрация ЗАТО Железногорск (расходы на реализацию программы обеспечения жильем молодых семей в ЗАТО Железногорск на 2006 - 2008 годы")</t>
  </si>
  <si>
    <t>32</t>
  </si>
  <si>
    <t>44</t>
  </si>
  <si>
    <t>51</t>
  </si>
  <si>
    <t>001 00 11</t>
  </si>
  <si>
    <t>001 00 12</t>
  </si>
  <si>
    <t>421 00 11</t>
  </si>
  <si>
    <t>421 00 12</t>
  </si>
  <si>
    <t>505 00 16</t>
  </si>
  <si>
    <t>505 00 17</t>
  </si>
  <si>
    <t>505 00 18</t>
  </si>
  <si>
    <t>505 00 19</t>
  </si>
  <si>
    <t>505 00 22</t>
  </si>
  <si>
    <t>441 00 10</t>
  </si>
  <si>
    <t>УСЗН Администрации ЗАТО Железногорск (расходы на реализацию Программы ЗАТО Железногорск "Старшее поколение" на 2007 - 2009 годы)</t>
  </si>
  <si>
    <t>УСЗН Администрации ЗАТО Железногорск (расходы на реализацию Программы "Об установлении мер социальной поддержки отдельных категорий граждан населения ЗАТО Железногорск на 2007 год")</t>
  </si>
  <si>
    <t>МУ "Управление капитального строительства" (расходы за счет субвенции на развитие социальной и инженерной инфраструктуры в 2007 году)</t>
  </si>
  <si>
    <t>001 00 13</t>
  </si>
  <si>
    <t>КУМИ ЗАТО Железногорск (расходы за счет субвенции бюджетам муниципальных образований края на реализацию Закона края от 06.07.06 № 19-5013 "О порядке обеспечения жильем ветеранов, инвалидов и семей, имеющих детей-инвалидов, нуждающихся в улучшении жилищных условий")</t>
  </si>
  <si>
    <t>132</t>
  </si>
  <si>
    <t>477 00 11</t>
  </si>
  <si>
    <t>240</t>
  </si>
  <si>
    <t>КУМИ ЗАТО Железногорск (взнос в уставный фонд МП "ОТРП")</t>
  </si>
  <si>
    <t>КУМИ ЗАТО Железногорск (взнос в уставный фонд МП "Гортеплоэнерго")</t>
  </si>
  <si>
    <t>от 21.06.2007 №27-170р</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</si>
</sst>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0.00\ "/>
    <numFmt numFmtId="173" formatCode="#,##0.00_ ;\-#,##0.00\ "/>
    <numFmt numFmtId="174" formatCode="#,##0.000_ ;\-#,##0.000\ "/>
    <numFmt numFmtId="175" formatCode="#,##0.0_ ;\-#,##0.0\ "/>
    <numFmt numFmtId="176" formatCode="#,##0_ ;\-#,##0\ "/>
    <numFmt numFmtId="177" formatCode="0.0"/>
    <numFmt numFmtId="178" formatCode="#,##0.0"/>
    <numFmt numFmtId="179" formatCode="0.0000"/>
    <numFmt numFmtId="180" formatCode="0.000"/>
    <numFmt numFmtId="181" formatCode="0.00000"/>
    <numFmt numFmtId="182" formatCode="0.000000"/>
    <numFmt numFmtId="183" formatCode="#,##0.0000_ ;\-#,##0.0000\ "/>
    <numFmt numFmtId="184" formatCode="0.0000000"/>
    <numFmt numFmtId="185" formatCode="0.00000000"/>
    <numFmt numFmtId="186" formatCode="0.000000000"/>
    <numFmt numFmtId="187" formatCode="0.0000000000"/>
    <numFmt numFmtId="188" formatCode="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
    <numFmt numFmtId="196" formatCode="#,##0.000"/>
  </numFmts>
  <fonts count="19">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1"/>
      <name val="Times New Roman"/>
      <family val="1"/>
    </font>
    <font>
      <sz val="18"/>
      <name val="Times New Roman"/>
      <family val="1"/>
    </font>
    <font>
      <u val="single"/>
      <sz val="7"/>
      <color indexed="12"/>
      <name val="Arial"/>
      <family val="0"/>
    </font>
    <font>
      <u val="single"/>
      <sz val="7"/>
      <color indexed="36"/>
      <name val="Arial"/>
      <family val="0"/>
    </font>
    <font>
      <i/>
      <sz val="12"/>
      <name val="Times New Roman"/>
      <family val="1"/>
    </font>
    <font>
      <sz val="11"/>
      <name val="Arial"/>
      <family val="0"/>
    </font>
    <font>
      <i/>
      <sz val="12.5"/>
      <name val="Times New Roman"/>
      <family val="1"/>
    </font>
    <font>
      <i/>
      <sz val="12.5"/>
      <name val="Arial"/>
      <family val="0"/>
    </font>
    <font>
      <sz val="12.5"/>
      <name val="Arial"/>
      <family val="0"/>
    </font>
    <font>
      <sz val="12.5"/>
      <name val="Times New Roman"/>
      <family val="1"/>
    </font>
    <font>
      <b/>
      <i/>
      <sz val="12.5"/>
      <name val="Times New Roman"/>
      <family val="1"/>
    </font>
    <font>
      <sz val="12"/>
      <color indexed="10"/>
      <name val="Times New Roman"/>
      <family val="1"/>
    </font>
    <font>
      <b/>
      <sz val="18"/>
      <name val="Times New Roman"/>
      <family val="1"/>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9">
    <xf numFmtId="0" fontId="0" fillId="0" borderId="0" xfId="0" applyAlignment="1">
      <alignment/>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0" fillId="0" borderId="0" xfId="0" applyNumberFormat="1" applyFill="1" applyAlignment="1">
      <alignment/>
    </xf>
    <xf numFmtId="0" fontId="0" fillId="0" borderId="0" xfId="0" applyFill="1" applyAlignment="1">
      <alignment/>
    </xf>
    <xf numFmtId="49"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0" fillId="0" borderId="2" xfId="0" applyFill="1" applyBorder="1" applyAlignment="1">
      <alignment/>
    </xf>
    <xf numFmtId="0" fontId="4" fillId="0" borderId="0" xfId="0" applyFont="1" applyFill="1" applyAlignment="1">
      <alignment/>
    </xf>
    <xf numFmtId="0" fontId="7" fillId="0" borderId="0" xfId="0" applyFont="1" applyFill="1" applyAlignment="1">
      <alignment horizontal="center" vertical="center" wrapText="1"/>
    </xf>
    <xf numFmtId="0" fontId="4" fillId="0" borderId="0" xfId="0" applyFont="1" applyFill="1" applyBorder="1" applyAlignment="1">
      <alignment/>
    </xf>
    <xf numFmtId="1"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horizontal="center" vertical="center" wrapText="1"/>
    </xf>
    <xf numFmtId="180" fontId="0" fillId="0" borderId="0" xfId="0" applyNumberFormat="1" applyFill="1" applyAlignment="1">
      <alignment/>
    </xf>
    <xf numFmtId="0" fontId="11" fillId="0" borderId="0" xfId="0" applyFont="1" applyFill="1" applyAlignment="1">
      <alignment/>
    </xf>
    <xf numFmtId="181" fontId="4" fillId="0" borderId="0" xfId="0" applyNumberFormat="1" applyFont="1" applyFill="1" applyAlignment="1">
      <alignment/>
    </xf>
    <xf numFmtId="180" fontId="4" fillId="0" borderId="0" xfId="0" applyNumberFormat="1" applyFont="1" applyFill="1" applyAlignment="1">
      <alignment horizontal="center"/>
    </xf>
    <xf numFmtId="1"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4" fillId="0" borderId="0" xfId="0" applyFont="1" applyAlignment="1">
      <alignment/>
    </xf>
    <xf numFmtId="1" fontId="16"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4" fillId="0" borderId="2" xfId="0" applyFont="1" applyFill="1" applyBorder="1" applyAlignment="1">
      <alignment/>
    </xf>
    <xf numFmtId="181" fontId="4" fillId="0" borderId="0" xfId="0" applyNumberFormat="1" applyFont="1" applyFill="1" applyAlignment="1">
      <alignment horizontal="center"/>
    </xf>
    <xf numFmtId="0" fontId="4" fillId="0" borderId="1" xfId="0" applyFont="1" applyFill="1" applyBorder="1" applyAlignment="1">
      <alignment horizontal="justify" vertical="center" wrapText="1"/>
    </xf>
    <xf numFmtId="195" fontId="5" fillId="0" borderId="1" xfId="0" applyNumberFormat="1" applyFont="1" applyFill="1" applyBorder="1" applyAlignment="1">
      <alignment horizontal="center" vertical="center"/>
    </xf>
    <xf numFmtId="195" fontId="12" fillId="0" borderId="1" xfId="0" applyNumberFormat="1" applyFont="1" applyFill="1" applyBorder="1" applyAlignment="1">
      <alignment horizontal="center" vertical="center"/>
    </xf>
    <xf numFmtId="195" fontId="4" fillId="0" borderId="1" xfId="0" applyNumberFormat="1" applyFont="1" applyFill="1" applyBorder="1" applyAlignment="1">
      <alignment horizontal="center" vertical="center"/>
    </xf>
    <xf numFmtId="195" fontId="10" fillId="0" borderId="1" xfId="0" applyNumberFormat="1" applyFont="1" applyFill="1" applyBorder="1" applyAlignment="1">
      <alignment horizontal="center" vertical="center"/>
    </xf>
    <xf numFmtId="195" fontId="1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0" fillId="0" borderId="0" xfId="0" applyFill="1" applyBorder="1" applyAlignment="1">
      <alignment/>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49" fontId="12" fillId="0" borderId="1" xfId="0" applyNumberFormat="1" applyFont="1" applyFill="1" applyBorder="1" applyAlignment="1">
      <alignment horizontal="justify" vertical="center" wrapText="1"/>
    </xf>
    <xf numFmtId="0" fontId="4" fillId="0" borderId="1" xfId="0" applyFont="1" applyFill="1" applyBorder="1" applyAlignment="1">
      <alignment vertical="center" wrapText="1"/>
    </xf>
    <xf numFmtId="189" fontId="4"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189" fontId="6"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justify" vertical="center" wrapText="1"/>
    </xf>
    <xf numFmtId="0" fontId="12" fillId="0" borderId="1" xfId="0" applyFont="1" applyFill="1" applyBorder="1" applyAlignment="1">
      <alignment horizontal="justify"/>
    </xf>
    <xf numFmtId="11" fontId="4"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xf>
    <xf numFmtId="181" fontId="0" fillId="0" borderId="0" xfId="0" applyNumberFormat="1" applyFill="1" applyAlignment="1">
      <alignment/>
    </xf>
    <xf numFmtId="195" fontId="0" fillId="0" borderId="0" xfId="0" applyNumberFormat="1" applyFill="1" applyAlignment="1">
      <alignment/>
    </xf>
    <xf numFmtId="0" fontId="4" fillId="0" borderId="1" xfId="0" applyFont="1" applyFill="1" applyBorder="1" applyAlignment="1">
      <alignment wrapText="1"/>
    </xf>
    <xf numFmtId="0" fontId="14" fillId="0" borderId="3" xfId="0" applyFont="1" applyFill="1" applyBorder="1" applyAlignment="1">
      <alignment/>
    </xf>
    <xf numFmtId="0" fontId="0" fillId="0" borderId="3" xfId="0" applyFill="1" applyBorder="1" applyAlignment="1">
      <alignment/>
    </xf>
    <xf numFmtId="0" fontId="14" fillId="0" borderId="0" xfId="0" applyFont="1" applyFill="1" applyAlignment="1">
      <alignment/>
    </xf>
    <xf numFmtId="0" fontId="14" fillId="0" borderId="0" xfId="0" applyFont="1" applyFill="1" applyBorder="1" applyAlignment="1">
      <alignment/>
    </xf>
    <xf numFmtId="0" fontId="13" fillId="0" borderId="0" xfId="0" applyFont="1" applyFill="1" applyBorder="1" applyAlignment="1">
      <alignment/>
    </xf>
    <xf numFmtId="0" fontId="0" fillId="0" borderId="0" xfId="0" applyFont="1" applyFill="1" applyAlignment="1">
      <alignment/>
    </xf>
    <xf numFmtId="0" fontId="0" fillId="0" borderId="2"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17" fillId="0" borderId="1" xfId="0" applyFont="1" applyFill="1" applyBorder="1" applyAlignment="1">
      <alignment wrapText="1"/>
    </xf>
    <xf numFmtId="0" fontId="13" fillId="0" borderId="0" xfId="0" applyFont="1" applyFill="1" applyAlignment="1">
      <alignment/>
    </xf>
    <xf numFmtId="0" fontId="4" fillId="0" borderId="1" xfId="0" applyFont="1" applyFill="1" applyBorder="1" applyAlignment="1">
      <alignment horizontal="justify" wrapText="1"/>
    </xf>
    <xf numFmtId="189" fontId="4" fillId="0" borderId="1" xfId="0" applyNumberFormat="1" applyFont="1" applyFill="1" applyBorder="1" applyAlignment="1" applyProtection="1">
      <alignment horizontal="justify" vertical="center" wrapText="1"/>
      <protection locked="0"/>
    </xf>
    <xf numFmtId="49"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95" fontId="4" fillId="2" borderId="1" xfId="0" applyNumberFormat="1" applyFont="1" applyFill="1" applyBorder="1" applyAlignment="1">
      <alignment horizontal="center" vertical="center"/>
    </xf>
    <xf numFmtId="0" fontId="4" fillId="2" borderId="1" xfId="0" applyFont="1" applyFill="1" applyBorder="1" applyAlignment="1">
      <alignment wrapText="1"/>
    </xf>
    <xf numFmtId="195" fontId="16" fillId="0" borderId="1" xfId="0" applyNumberFormat="1" applyFont="1" applyFill="1" applyBorder="1" applyAlignment="1">
      <alignment horizontal="center" vertical="center"/>
    </xf>
    <xf numFmtId="1" fontId="17" fillId="2" borderId="1" xfId="0" applyNumberFormat="1" applyFont="1" applyFill="1" applyBorder="1" applyAlignment="1">
      <alignment horizontal="center" vertical="center"/>
    </xf>
    <xf numFmtId="181" fontId="4"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49" fontId="4" fillId="2"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49" fontId="4" fillId="2" borderId="1" xfId="0" applyNumberFormat="1" applyFont="1" applyFill="1" applyBorder="1" applyAlignment="1">
      <alignment horizontal="center" vertical="center" wrapText="1"/>
    </xf>
    <xf numFmtId="195" fontId="17" fillId="0" borderId="1"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xf>
    <xf numFmtId="49" fontId="17" fillId="2" borderId="1" xfId="0" applyNumberFormat="1" applyFont="1" applyFill="1" applyBorder="1" applyAlignment="1">
      <alignment horizontal="justify" vertical="center" wrapText="1"/>
    </xf>
    <xf numFmtId="195" fontId="17" fillId="2" borderId="1" xfId="0" applyNumberFormat="1" applyFont="1" applyFill="1" applyBorder="1" applyAlignment="1">
      <alignment horizontal="center" vertical="center"/>
    </xf>
    <xf numFmtId="195"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justify" vertical="center" wrapText="1"/>
    </xf>
    <xf numFmtId="1" fontId="4" fillId="3" borderId="1" xfId="0" applyNumberFormat="1" applyFont="1" applyFill="1" applyBorder="1" applyAlignment="1">
      <alignment horizontal="center" vertical="center"/>
    </xf>
    <xf numFmtId="0" fontId="0" fillId="0" borderId="0" xfId="0" applyFill="1" applyAlignment="1">
      <alignment/>
    </xf>
    <xf numFmtId="0" fontId="10" fillId="0" borderId="1" xfId="0" applyFont="1" applyFill="1" applyBorder="1" applyAlignment="1">
      <alignment horizontal="justify" vertical="center" wrapText="1"/>
    </xf>
    <xf numFmtId="49" fontId="4" fillId="0" borderId="1" xfId="0" applyNumberFormat="1" applyFont="1" applyFill="1" applyBorder="1" applyAlignment="1">
      <alignment vertical="center" wrapText="1"/>
    </xf>
    <xf numFmtId="196" fontId="4" fillId="0" borderId="1" xfId="0" applyNumberFormat="1" applyFont="1" applyFill="1" applyBorder="1" applyAlignment="1">
      <alignment horizontal="center" vertical="center"/>
    </xf>
    <xf numFmtId="189" fontId="4" fillId="0" borderId="1" xfId="0" applyNumberFormat="1" applyFont="1" applyFill="1" applyBorder="1" applyAlignment="1">
      <alignment vertical="center" wrapText="1"/>
    </xf>
    <xf numFmtId="0" fontId="12" fillId="0" borderId="1" xfId="0" applyFont="1" applyFill="1" applyBorder="1" applyAlignment="1">
      <alignment vertical="center"/>
    </xf>
    <xf numFmtId="0" fontId="4" fillId="4" borderId="1" xfId="0" applyFont="1" applyFill="1" applyBorder="1" applyAlignment="1">
      <alignment horizontal="justify" vertical="center" wrapText="1"/>
    </xf>
    <xf numFmtId="0" fontId="0" fillId="0" borderId="4" xfId="0"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xf>
    <xf numFmtId="1"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0" borderId="0" xfId="0" applyFont="1" applyFill="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76"/>
  <sheetViews>
    <sheetView showGridLines="0" tabSelected="1" zoomScale="80" zoomScaleNormal="80" zoomScaleSheetLayoutView="75" workbookViewId="0" topLeftCell="A1">
      <selection activeCell="E3" sqref="E3"/>
    </sheetView>
  </sheetViews>
  <sheetFormatPr defaultColWidth="9.140625" defaultRowHeight="12.75"/>
  <cols>
    <col min="1" max="1" width="7.140625" style="0" customWidth="1"/>
    <col min="2" max="2" width="8.140625" style="5" customWidth="1"/>
    <col min="3" max="3" width="7.8515625" style="5" customWidth="1"/>
    <col min="4" max="4" width="77.28125" style="5" customWidth="1"/>
    <col min="5" max="5" width="12.00390625" style="5" customWidth="1"/>
    <col min="6" max="6" width="7.140625" style="5" customWidth="1"/>
    <col min="7" max="7" width="23.57421875" style="5" hidden="1" customWidth="1"/>
    <col min="8" max="8" width="21.7109375" style="5" hidden="1" customWidth="1"/>
    <col min="9" max="9" width="18.57421875" style="5" hidden="1" customWidth="1"/>
    <col min="10" max="10" width="21.7109375" style="5" hidden="1" customWidth="1"/>
    <col min="11" max="12" width="18.57421875" style="5" hidden="1" customWidth="1"/>
    <col min="13" max="13" width="23.57421875" style="5" hidden="1" customWidth="1"/>
    <col min="14" max="14" width="24.57421875" style="5" hidden="1" customWidth="1"/>
    <col min="15" max="15" width="18.57421875" style="5" customWidth="1"/>
  </cols>
  <sheetData>
    <row r="1" ht="15.75">
      <c r="E1" s="9" t="s">
        <v>6</v>
      </c>
    </row>
    <row r="2" ht="15.75">
      <c r="E2" s="9" t="s">
        <v>20</v>
      </c>
    </row>
    <row r="3" ht="15.75">
      <c r="E3" s="9" t="s">
        <v>674</v>
      </c>
    </row>
    <row r="4" ht="15.75">
      <c r="E4" s="9" t="s">
        <v>21</v>
      </c>
    </row>
    <row r="5" ht="15.75">
      <c r="E5" s="9" t="s">
        <v>22</v>
      </c>
    </row>
    <row r="6" ht="15.75">
      <c r="E6" s="9" t="s">
        <v>23</v>
      </c>
    </row>
    <row r="8" spans="2:27" ht="84.75" customHeight="1">
      <c r="B8" s="98" t="s">
        <v>24</v>
      </c>
      <c r="C8" s="98"/>
      <c r="D8" s="98"/>
      <c r="E8" s="98"/>
      <c r="F8" s="98"/>
      <c r="G8" s="98"/>
      <c r="H8" s="98"/>
      <c r="I8" s="98"/>
      <c r="J8" s="98"/>
      <c r="K8" s="98"/>
      <c r="L8" s="98"/>
      <c r="M8" s="98"/>
      <c r="N8" s="98"/>
      <c r="O8" s="98"/>
      <c r="P8" s="85"/>
      <c r="Q8" s="85"/>
      <c r="R8" s="85"/>
      <c r="S8" s="85"/>
      <c r="T8" s="85"/>
      <c r="U8" s="85"/>
      <c r="V8" s="85"/>
      <c r="W8" s="85"/>
      <c r="X8" s="85"/>
      <c r="Y8" s="85"/>
      <c r="Z8" s="85"/>
      <c r="AA8" s="85"/>
    </row>
    <row r="9" spans="2:27" ht="3" customHeight="1">
      <c r="B9" s="10"/>
      <c r="C9" s="10"/>
      <c r="D9" s="10"/>
      <c r="E9" s="10"/>
      <c r="F9" s="10"/>
      <c r="G9" s="16"/>
      <c r="H9" s="16"/>
      <c r="I9" s="16"/>
      <c r="J9" s="16"/>
      <c r="K9" s="16"/>
      <c r="L9" s="16"/>
      <c r="M9" s="16"/>
      <c r="N9" s="16"/>
      <c r="O9" s="16"/>
      <c r="P9" s="85"/>
      <c r="Q9" s="85"/>
      <c r="R9" s="85"/>
      <c r="S9" s="85"/>
      <c r="T9" s="85"/>
      <c r="U9" s="85"/>
      <c r="V9" s="85"/>
      <c r="W9" s="85"/>
      <c r="X9" s="85"/>
      <c r="Y9" s="85"/>
      <c r="Z9" s="85"/>
      <c r="AA9" s="85"/>
    </row>
    <row r="10" spans="2:27" ht="13.5" customHeight="1">
      <c r="B10" s="11"/>
      <c r="C10" s="11"/>
      <c r="D10" s="11"/>
      <c r="E10" s="9"/>
      <c r="F10" s="9"/>
      <c r="P10" s="85"/>
      <c r="Q10" s="85"/>
      <c r="R10" s="85"/>
      <c r="S10" s="85"/>
      <c r="T10" s="85"/>
      <c r="U10" s="85"/>
      <c r="V10" s="85"/>
      <c r="W10" s="85"/>
      <c r="X10" s="85"/>
      <c r="Y10" s="85"/>
      <c r="Z10" s="85"/>
      <c r="AA10" s="85"/>
    </row>
    <row r="11" spans="1:27" ht="13.5" customHeight="1">
      <c r="A11" s="92"/>
      <c r="B11" s="93" t="s">
        <v>489</v>
      </c>
      <c r="C11" s="93" t="s">
        <v>367</v>
      </c>
      <c r="D11" s="96" t="s">
        <v>308</v>
      </c>
      <c r="E11" s="96" t="s">
        <v>313</v>
      </c>
      <c r="F11" s="96" t="s">
        <v>366</v>
      </c>
      <c r="G11" s="96" t="s">
        <v>641</v>
      </c>
      <c r="H11" s="96" t="s">
        <v>479</v>
      </c>
      <c r="I11" s="96" t="s">
        <v>641</v>
      </c>
      <c r="J11" s="96" t="s">
        <v>479</v>
      </c>
      <c r="K11" s="96" t="s">
        <v>641</v>
      </c>
      <c r="L11" s="96" t="s">
        <v>479</v>
      </c>
      <c r="M11" s="96" t="s">
        <v>641</v>
      </c>
      <c r="N11" s="96" t="s">
        <v>479</v>
      </c>
      <c r="O11" s="96" t="s">
        <v>641</v>
      </c>
      <c r="P11" s="85"/>
      <c r="Q11" s="85"/>
      <c r="R11" s="85"/>
      <c r="S11" s="85"/>
      <c r="T11" s="85"/>
      <c r="U11" s="85"/>
      <c r="V11" s="85"/>
      <c r="W11" s="85"/>
      <c r="X11" s="85"/>
      <c r="Y11" s="85"/>
      <c r="Z11" s="85"/>
      <c r="AA11" s="85"/>
    </row>
    <row r="12" spans="1:27" ht="33" customHeight="1">
      <c r="A12" s="92"/>
      <c r="B12" s="94"/>
      <c r="C12" s="93"/>
      <c r="D12" s="94"/>
      <c r="E12" s="97"/>
      <c r="F12" s="97"/>
      <c r="G12" s="96"/>
      <c r="H12" s="96"/>
      <c r="I12" s="96"/>
      <c r="J12" s="96"/>
      <c r="K12" s="96"/>
      <c r="L12" s="96"/>
      <c r="M12" s="96"/>
      <c r="N12" s="96"/>
      <c r="O12" s="96"/>
      <c r="P12" s="85"/>
      <c r="Q12" s="85"/>
      <c r="R12" s="85"/>
      <c r="S12" s="85"/>
      <c r="T12" s="85"/>
      <c r="U12" s="85"/>
      <c r="V12" s="85"/>
      <c r="W12" s="85"/>
      <c r="X12" s="85"/>
      <c r="Y12" s="85"/>
      <c r="Z12" s="85"/>
      <c r="AA12" s="85"/>
    </row>
    <row r="13" spans="2:27" ht="29.25" customHeight="1">
      <c r="B13" s="6" t="s">
        <v>485</v>
      </c>
      <c r="C13" s="6" t="s">
        <v>363</v>
      </c>
      <c r="D13" s="38" t="s">
        <v>331</v>
      </c>
      <c r="E13" s="7"/>
      <c r="F13" s="7"/>
      <c r="G13" s="30">
        <f aca="true" t="shared" si="0" ref="G13:O13">G14+G17+G22+G27+G29+G33+G37+G41+G42</f>
        <v>53203</v>
      </c>
      <c r="H13" s="30">
        <f t="shared" si="0"/>
        <v>2493.1565</v>
      </c>
      <c r="I13" s="30">
        <f t="shared" si="0"/>
        <v>55696.1565</v>
      </c>
      <c r="J13" s="30">
        <f t="shared" si="0"/>
        <v>6000.656000000001</v>
      </c>
      <c r="K13" s="30">
        <f t="shared" si="0"/>
        <v>61696.812500000015</v>
      </c>
      <c r="L13" s="30">
        <f t="shared" si="0"/>
        <v>20</v>
      </c>
      <c r="M13" s="30">
        <f t="shared" si="0"/>
        <v>61716.812500000015</v>
      </c>
      <c r="N13" s="30">
        <f t="shared" si="0"/>
        <v>0</v>
      </c>
      <c r="O13" s="30">
        <f t="shared" si="0"/>
        <v>61716.812500000015</v>
      </c>
      <c r="P13" s="85"/>
      <c r="Q13" s="85"/>
      <c r="R13" s="85"/>
      <c r="S13" s="85"/>
      <c r="T13" s="85"/>
      <c r="U13" s="85"/>
      <c r="V13" s="85"/>
      <c r="W13" s="85"/>
      <c r="X13" s="85"/>
      <c r="Y13" s="85"/>
      <c r="Z13" s="85"/>
      <c r="AA13" s="85"/>
    </row>
    <row r="14" spans="2:27" s="24" customFormat="1" ht="39" customHeight="1">
      <c r="B14" s="23" t="s">
        <v>486</v>
      </c>
      <c r="C14" s="23" t="s">
        <v>451</v>
      </c>
      <c r="D14" s="39" t="s">
        <v>450</v>
      </c>
      <c r="E14" s="21"/>
      <c r="F14" s="21"/>
      <c r="G14" s="31">
        <f aca="true" t="shared" si="1" ref="G14:O15">G15</f>
        <v>866.1</v>
      </c>
      <c r="H14" s="31">
        <f t="shared" si="1"/>
        <v>0</v>
      </c>
      <c r="I14" s="31">
        <f t="shared" si="1"/>
        <v>866.1</v>
      </c>
      <c r="J14" s="31">
        <f t="shared" si="1"/>
        <v>20.5</v>
      </c>
      <c r="K14" s="31">
        <f t="shared" si="1"/>
        <v>886.6</v>
      </c>
      <c r="L14" s="31">
        <f t="shared" si="1"/>
        <v>0</v>
      </c>
      <c r="M14" s="31">
        <f t="shared" si="1"/>
        <v>886.6</v>
      </c>
      <c r="N14" s="31">
        <f t="shared" si="1"/>
        <v>0</v>
      </c>
      <c r="O14" s="31">
        <f t="shared" si="1"/>
        <v>886.6</v>
      </c>
      <c r="P14" s="85"/>
      <c r="Q14" s="85"/>
      <c r="R14" s="85"/>
      <c r="S14" s="85"/>
      <c r="T14" s="85"/>
      <c r="U14" s="85"/>
      <c r="V14" s="85"/>
      <c r="W14" s="85"/>
      <c r="X14" s="85"/>
      <c r="Y14" s="85"/>
      <c r="Z14" s="85"/>
      <c r="AA14" s="85"/>
    </row>
    <row r="15" spans="2:27" ht="29.25" customHeight="1">
      <c r="B15" s="3" t="s">
        <v>487</v>
      </c>
      <c r="C15" s="3" t="s">
        <v>451</v>
      </c>
      <c r="D15" s="29" t="s">
        <v>435</v>
      </c>
      <c r="E15" s="1"/>
      <c r="F15" s="1"/>
      <c r="G15" s="32">
        <f t="shared" si="1"/>
        <v>866.1</v>
      </c>
      <c r="H15" s="32">
        <f t="shared" si="1"/>
        <v>0</v>
      </c>
      <c r="I15" s="32">
        <f t="shared" si="1"/>
        <v>866.1</v>
      </c>
      <c r="J15" s="32">
        <f t="shared" si="1"/>
        <v>20.5</v>
      </c>
      <c r="K15" s="32">
        <f t="shared" si="1"/>
        <v>886.6</v>
      </c>
      <c r="L15" s="32">
        <f t="shared" si="1"/>
        <v>0</v>
      </c>
      <c r="M15" s="32">
        <f t="shared" si="1"/>
        <v>886.6</v>
      </c>
      <c r="N15" s="32">
        <f t="shared" si="1"/>
        <v>0</v>
      </c>
      <c r="O15" s="32">
        <f t="shared" si="1"/>
        <v>886.6</v>
      </c>
      <c r="P15" s="85"/>
      <c r="Q15" s="85"/>
      <c r="R15" s="85"/>
      <c r="S15" s="85"/>
      <c r="T15" s="85"/>
      <c r="U15" s="85"/>
      <c r="V15" s="85"/>
      <c r="W15" s="85"/>
      <c r="X15" s="85"/>
      <c r="Y15" s="85"/>
      <c r="Z15" s="85"/>
      <c r="AA15" s="85"/>
    </row>
    <row r="16" spans="2:15" ht="31.5" customHeight="1">
      <c r="B16" s="3" t="s">
        <v>488</v>
      </c>
      <c r="C16" s="3" t="s">
        <v>451</v>
      </c>
      <c r="D16" s="29" t="s">
        <v>452</v>
      </c>
      <c r="E16" s="1" t="s">
        <v>386</v>
      </c>
      <c r="F16" s="3" t="s">
        <v>453</v>
      </c>
      <c r="G16" s="32">
        <v>866.1</v>
      </c>
      <c r="H16" s="32"/>
      <c r="I16" s="32">
        <f>G16+H16</f>
        <v>866.1</v>
      </c>
      <c r="J16" s="32">
        <v>20.5</v>
      </c>
      <c r="K16" s="32">
        <f>I16+J16</f>
        <v>886.6</v>
      </c>
      <c r="L16" s="32"/>
      <c r="M16" s="32">
        <f>K16+L16</f>
        <v>886.6</v>
      </c>
      <c r="N16" s="32"/>
      <c r="O16" s="32">
        <f>M16+N16</f>
        <v>886.6</v>
      </c>
    </row>
    <row r="17" spans="2:15" s="24" customFormat="1" ht="39.75" customHeight="1">
      <c r="B17" s="23" t="s">
        <v>490</v>
      </c>
      <c r="C17" s="23" t="s">
        <v>364</v>
      </c>
      <c r="D17" s="39" t="s">
        <v>365</v>
      </c>
      <c r="E17" s="23"/>
      <c r="F17" s="21"/>
      <c r="G17" s="31">
        <f aca="true" t="shared" si="2" ref="G17:O17">G18</f>
        <v>7173.200000000001</v>
      </c>
      <c r="H17" s="31">
        <f t="shared" si="2"/>
        <v>0</v>
      </c>
      <c r="I17" s="31">
        <f t="shared" si="2"/>
        <v>7173.200000000001</v>
      </c>
      <c r="J17" s="31">
        <f t="shared" si="2"/>
        <v>111.80000000000001</v>
      </c>
      <c r="K17" s="31">
        <f t="shared" si="2"/>
        <v>7285</v>
      </c>
      <c r="L17" s="31">
        <f t="shared" si="2"/>
        <v>0</v>
      </c>
      <c r="M17" s="31">
        <f t="shared" si="2"/>
        <v>7285</v>
      </c>
      <c r="N17" s="31">
        <f t="shared" si="2"/>
        <v>0</v>
      </c>
      <c r="O17" s="31">
        <f t="shared" si="2"/>
        <v>7285</v>
      </c>
    </row>
    <row r="18" spans="2:15" ht="21" customHeight="1">
      <c r="B18" s="3" t="s">
        <v>491</v>
      </c>
      <c r="C18" s="3" t="s">
        <v>364</v>
      </c>
      <c r="D18" s="29" t="s">
        <v>113</v>
      </c>
      <c r="E18" s="3"/>
      <c r="F18" s="1"/>
      <c r="G18" s="32">
        <f aca="true" t="shared" si="3" ref="G18:O18">G19+G20+G21</f>
        <v>7173.200000000001</v>
      </c>
      <c r="H18" s="32">
        <f t="shared" si="3"/>
        <v>0</v>
      </c>
      <c r="I18" s="32">
        <f t="shared" si="3"/>
        <v>7173.200000000001</v>
      </c>
      <c r="J18" s="32">
        <f t="shared" si="3"/>
        <v>111.80000000000001</v>
      </c>
      <c r="K18" s="32">
        <f t="shared" si="3"/>
        <v>7285</v>
      </c>
      <c r="L18" s="32">
        <f t="shared" si="3"/>
        <v>0</v>
      </c>
      <c r="M18" s="32">
        <f t="shared" si="3"/>
        <v>7285</v>
      </c>
      <c r="N18" s="32">
        <f t="shared" si="3"/>
        <v>0</v>
      </c>
      <c r="O18" s="32">
        <f t="shared" si="3"/>
        <v>7285</v>
      </c>
    </row>
    <row r="19" spans="2:15" ht="25.5" customHeight="1">
      <c r="B19" s="3" t="s">
        <v>492</v>
      </c>
      <c r="C19" s="3" t="s">
        <v>364</v>
      </c>
      <c r="D19" s="29" t="s">
        <v>454</v>
      </c>
      <c r="E19" s="1" t="s">
        <v>386</v>
      </c>
      <c r="F19" s="1" t="s">
        <v>368</v>
      </c>
      <c r="G19" s="32">
        <v>865.9</v>
      </c>
      <c r="H19" s="32"/>
      <c r="I19" s="32">
        <f>G19+H19</f>
        <v>865.9</v>
      </c>
      <c r="J19" s="32">
        <v>20.5</v>
      </c>
      <c r="K19" s="32">
        <f>I19+J19</f>
        <v>886.4</v>
      </c>
      <c r="L19" s="32"/>
      <c r="M19" s="32">
        <f>K19+L19</f>
        <v>886.4</v>
      </c>
      <c r="N19" s="32"/>
      <c r="O19" s="32">
        <f>M19+N19</f>
        <v>886.4</v>
      </c>
    </row>
    <row r="20" spans="2:15" ht="29.25" customHeight="1">
      <c r="B20" s="3" t="s">
        <v>493</v>
      </c>
      <c r="C20" s="3" t="s">
        <v>364</v>
      </c>
      <c r="D20" s="29" t="s">
        <v>476</v>
      </c>
      <c r="E20" s="1" t="s">
        <v>386</v>
      </c>
      <c r="F20" s="1" t="s">
        <v>327</v>
      </c>
      <c r="G20" s="32">
        <v>793.6</v>
      </c>
      <c r="H20" s="32"/>
      <c r="I20" s="32">
        <f>G20+H20</f>
        <v>793.6</v>
      </c>
      <c r="J20" s="32">
        <v>18.6</v>
      </c>
      <c r="K20" s="32">
        <f>I20+J20</f>
        <v>812.2</v>
      </c>
      <c r="L20" s="32"/>
      <c r="M20" s="32">
        <f>K20+L20</f>
        <v>812.2</v>
      </c>
      <c r="N20" s="32"/>
      <c r="O20" s="32">
        <f>M20+N20</f>
        <v>812.2</v>
      </c>
    </row>
    <row r="21" spans="2:15" ht="25.5" customHeight="1">
      <c r="B21" s="3" t="s">
        <v>494</v>
      </c>
      <c r="C21" s="3" t="s">
        <v>364</v>
      </c>
      <c r="D21" s="29" t="s">
        <v>415</v>
      </c>
      <c r="E21" s="1" t="s">
        <v>386</v>
      </c>
      <c r="F21" s="3" t="s">
        <v>412</v>
      </c>
      <c r="G21" s="32">
        <f>4517.8+163.1-14.8+339.5+508.1</f>
        <v>5513.700000000001</v>
      </c>
      <c r="H21" s="32"/>
      <c r="I21" s="32">
        <f>G21+H21</f>
        <v>5513.700000000001</v>
      </c>
      <c r="J21" s="32">
        <v>72.7</v>
      </c>
      <c r="K21" s="32">
        <f>I21+J21</f>
        <v>5586.400000000001</v>
      </c>
      <c r="L21" s="32"/>
      <c r="M21" s="32">
        <f>K21+L21</f>
        <v>5586.400000000001</v>
      </c>
      <c r="N21" s="32"/>
      <c r="O21" s="32">
        <f>M21+N21</f>
        <v>5586.400000000001</v>
      </c>
    </row>
    <row r="22" spans="2:15" s="24" customFormat="1" ht="49.5">
      <c r="B22" s="23" t="s">
        <v>495</v>
      </c>
      <c r="C22" s="23" t="s">
        <v>369</v>
      </c>
      <c r="D22" s="39" t="s">
        <v>370</v>
      </c>
      <c r="E22" s="21"/>
      <c r="F22" s="21"/>
      <c r="G22" s="31">
        <f aca="true" t="shared" si="4" ref="G22:O22">G23</f>
        <v>69589.09999999999</v>
      </c>
      <c r="H22" s="31">
        <f t="shared" si="4"/>
        <v>2489.1165</v>
      </c>
      <c r="I22" s="31">
        <f t="shared" si="4"/>
        <v>72078.2165</v>
      </c>
      <c r="J22" s="31">
        <f t="shared" si="4"/>
        <v>5731.0560000000005</v>
      </c>
      <c r="K22" s="31">
        <f t="shared" si="4"/>
        <v>77809.2725</v>
      </c>
      <c r="L22" s="31">
        <f t="shared" si="4"/>
        <v>0</v>
      </c>
      <c r="M22" s="31">
        <f t="shared" si="4"/>
        <v>77809.2725</v>
      </c>
      <c r="N22" s="31">
        <f t="shared" si="4"/>
        <v>0</v>
      </c>
      <c r="O22" s="31">
        <f t="shared" si="4"/>
        <v>77809.2725</v>
      </c>
    </row>
    <row r="23" spans="2:15" ht="21" customHeight="1">
      <c r="B23" s="3" t="s">
        <v>496</v>
      </c>
      <c r="C23" s="3" t="s">
        <v>369</v>
      </c>
      <c r="D23" s="29" t="s">
        <v>27</v>
      </c>
      <c r="E23" s="1"/>
      <c r="F23" s="1"/>
      <c r="G23" s="32">
        <f aca="true" t="shared" si="5" ref="G23:O23">+G24+G25+G26</f>
        <v>69589.09999999999</v>
      </c>
      <c r="H23" s="32">
        <f t="shared" si="5"/>
        <v>2489.1165</v>
      </c>
      <c r="I23" s="32">
        <f t="shared" si="5"/>
        <v>72078.2165</v>
      </c>
      <c r="J23" s="32">
        <f t="shared" si="5"/>
        <v>5731.0560000000005</v>
      </c>
      <c r="K23" s="32">
        <f t="shared" si="5"/>
        <v>77809.2725</v>
      </c>
      <c r="L23" s="32">
        <f t="shared" si="5"/>
        <v>0</v>
      </c>
      <c r="M23" s="32">
        <f t="shared" si="5"/>
        <v>77809.2725</v>
      </c>
      <c r="N23" s="32">
        <f t="shared" si="5"/>
        <v>0</v>
      </c>
      <c r="O23" s="32">
        <f t="shared" si="5"/>
        <v>77809.2725</v>
      </c>
    </row>
    <row r="24" spans="2:15" ht="35.25" customHeight="1">
      <c r="B24" s="3" t="s">
        <v>497</v>
      </c>
      <c r="C24" s="3" t="s">
        <v>369</v>
      </c>
      <c r="D24" s="29" t="s">
        <v>415</v>
      </c>
      <c r="E24" s="1" t="s">
        <v>386</v>
      </c>
      <c r="F24" s="3" t="s">
        <v>412</v>
      </c>
      <c r="G24" s="32">
        <f>74812-5237.7-690.6</f>
        <v>68883.7</v>
      </c>
      <c r="H24" s="32"/>
      <c r="I24" s="32">
        <f>G24+H24</f>
        <v>68883.7</v>
      </c>
      <c r="J24" s="32">
        <f>1096.8+4559.156</f>
        <v>5655.956</v>
      </c>
      <c r="K24" s="32">
        <f>I24+J24</f>
        <v>74539.656</v>
      </c>
      <c r="L24" s="32"/>
      <c r="M24" s="32">
        <f>K24+L24</f>
        <v>74539.656</v>
      </c>
      <c r="N24" s="32"/>
      <c r="O24" s="32">
        <f>M24+N24</f>
        <v>74539.656</v>
      </c>
    </row>
    <row r="25" spans="2:15" s="5" customFormat="1" ht="64.5" customHeight="1">
      <c r="B25" s="3" t="s">
        <v>498</v>
      </c>
      <c r="C25" s="3" t="s">
        <v>369</v>
      </c>
      <c r="D25" s="29" t="s">
        <v>58</v>
      </c>
      <c r="E25" s="1" t="s">
        <v>437</v>
      </c>
      <c r="F25" s="3" t="s">
        <v>412</v>
      </c>
      <c r="G25" s="32">
        <v>705.4</v>
      </c>
      <c r="H25" s="32">
        <v>0.1165</v>
      </c>
      <c r="I25" s="32">
        <f>G25+H25</f>
        <v>705.5165</v>
      </c>
      <c r="J25" s="32">
        <v>15.8</v>
      </c>
      <c r="K25" s="32">
        <f>I25+J25</f>
        <v>721.3164999999999</v>
      </c>
      <c r="L25" s="32"/>
      <c r="M25" s="32">
        <f>K25+L25</f>
        <v>721.3164999999999</v>
      </c>
      <c r="N25" s="32"/>
      <c r="O25" s="32">
        <f>M25+N25</f>
        <v>721.3164999999999</v>
      </c>
    </row>
    <row r="26" spans="2:15" s="5" customFormat="1" ht="38.25" customHeight="1">
      <c r="B26" s="3" t="s">
        <v>499</v>
      </c>
      <c r="C26" s="3" t="s">
        <v>369</v>
      </c>
      <c r="D26" s="29" t="s">
        <v>78</v>
      </c>
      <c r="E26" s="1" t="s">
        <v>79</v>
      </c>
      <c r="F26" s="3" t="s">
        <v>412</v>
      </c>
      <c r="G26" s="32">
        <v>0</v>
      </c>
      <c r="H26" s="32">
        <v>2489</v>
      </c>
      <c r="I26" s="32">
        <f>G26+H26</f>
        <v>2489</v>
      </c>
      <c r="J26" s="32">
        <v>59.3</v>
      </c>
      <c r="K26" s="32">
        <f>I26+J26</f>
        <v>2548.3</v>
      </c>
      <c r="L26" s="32"/>
      <c r="M26" s="32">
        <f>K26+L26</f>
        <v>2548.3</v>
      </c>
      <c r="N26" s="32"/>
      <c r="O26" s="32">
        <f>M26+N26</f>
        <v>2548.3</v>
      </c>
    </row>
    <row r="27" spans="1:15" s="53" customFormat="1" ht="31.5" customHeight="1">
      <c r="A27" s="27"/>
      <c r="B27" s="23" t="s">
        <v>500</v>
      </c>
      <c r="C27" s="23" t="s">
        <v>455</v>
      </c>
      <c r="D27" s="39" t="s">
        <v>456</v>
      </c>
      <c r="E27" s="21"/>
      <c r="F27" s="23"/>
      <c r="G27" s="31">
        <f aca="true" t="shared" si="6" ref="G27:O27">G28</f>
        <v>51.8</v>
      </c>
      <c r="H27" s="31">
        <f t="shared" si="6"/>
        <v>0.04</v>
      </c>
      <c r="I27" s="31">
        <f t="shared" si="6"/>
        <v>51.839999999999996</v>
      </c>
      <c r="J27" s="31">
        <f t="shared" si="6"/>
        <v>0</v>
      </c>
      <c r="K27" s="31">
        <f t="shared" si="6"/>
        <v>51.839999999999996</v>
      </c>
      <c r="L27" s="31">
        <f t="shared" si="6"/>
        <v>0</v>
      </c>
      <c r="M27" s="31">
        <f t="shared" si="6"/>
        <v>51.839999999999996</v>
      </c>
      <c r="N27" s="31">
        <f t="shared" si="6"/>
        <v>0</v>
      </c>
      <c r="O27" s="31">
        <f t="shared" si="6"/>
        <v>51.839999999999996</v>
      </c>
    </row>
    <row r="28" spans="1:15" s="54" customFormat="1" ht="65.25" customHeight="1">
      <c r="A28" s="8"/>
      <c r="B28" s="3" t="s">
        <v>501</v>
      </c>
      <c r="C28" s="3" t="s">
        <v>455</v>
      </c>
      <c r="D28" s="29" t="s">
        <v>28</v>
      </c>
      <c r="E28" s="1" t="s">
        <v>654</v>
      </c>
      <c r="F28" s="3" t="s">
        <v>457</v>
      </c>
      <c r="G28" s="32">
        <v>51.8</v>
      </c>
      <c r="H28" s="32">
        <v>0.04</v>
      </c>
      <c r="I28" s="32">
        <f>G28+H28</f>
        <v>51.839999999999996</v>
      </c>
      <c r="J28" s="32"/>
      <c r="K28" s="32">
        <f>I28+J28</f>
        <v>51.839999999999996</v>
      </c>
      <c r="L28" s="32"/>
      <c r="M28" s="32">
        <f>K28+L28</f>
        <v>51.839999999999996</v>
      </c>
      <c r="N28" s="32"/>
      <c r="O28" s="32">
        <f>M28+N28</f>
        <v>51.839999999999996</v>
      </c>
    </row>
    <row r="29" spans="2:15" s="55" customFormat="1" ht="33" customHeight="1">
      <c r="B29" s="23" t="s">
        <v>502</v>
      </c>
      <c r="C29" s="23" t="s">
        <v>371</v>
      </c>
      <c r="D29" s="39" t="s">
        <v>372</v>
      </c>
      <c r="E29" s="21"/>
      <c r="F29" s="23"/>
      <c r="G29" s="31">
        <f aca="true" t="shared" si="7" ref="G29:O30">G30</f>
        <v>6945</v>
      </c>
      <c r="H29" s="31">
        <f t="shared" si="7"/>
        <v>0</v>
      </c>
      <c r="I29" s="31">
        <f t="shared" si="7"/>
        <v>6945</v>
      </c>
      <c r="J29" s="31">
        <f t="shared" si="7"/>
        <v>137.3</v>
      </c>
      <c r="K29" s="31">
        <f t="shared" si="7"/>
        <v>7082.3</v>
      </c>
      <c r="L29" s="31">
        <f t="shared" si="7"/>
        <v>0</v>
      </c>
      <c r="M29" s="31">
        <f t="shared" si="7"/>
        <v>7082.3</v>
      </c>
      <c r="N29" s="31">
        <f t="shared" si="7"/>
        <v>0</v>
      </c>
      <c r="O29" s="31">
        <f t="shared" si="7"/>
        <v>7082.3</v>
      </c>
    </row>
    <row r="30" spans="2:15" s="5" customFormat="1" ht="30.75" customHeight="1">
      <c r="B30" s="3" t="s">
        <v>503</v>
      </c>
      <c r="C30" s="3" t="s">
        <v>371</v>
      </c>
      <c r="D30" s="29" t="s">
        <v>644</v>
      </c>
      <c r="E30" s="1"/>
      <c r="F30" s="3"/>
      <c r="G30" s="32">
        <f t="shared" si="7"/>
        <v>6945</v>
      </c>
      <c r="H30" s="32">
        <f t="shared" si="7"/>
        <v>0</v>
      </c>
      <c r="I30" s="32">
        <f t="shared" si="7"/>
        <v>6945</v>
      </c>
      <c r="J30" s="32">
        <f t="shared" si="7"/>
        <v>137.3</v>
      </c>
      <c r="K30" s="32">
        <f t="shared" si="7"/>
        <v>7082.3</v>
      </c>
      <c r="L30" s="32">
        <f t="shared" si="7"/>
        <v>0</v>
      </c>
      <c r="M30" s="32">
        <f t="shared" si="7"/>
        <v>7082.3</v>
      </c>
      <c r="N30" s="32">
        <f t="shared" si="7"/>
        <v>0</v>
      </c>
      <c r="O30" s="32">
        <f t="shared" si="7"/>
        <v>7082.3</v>
      </c>
    </row>
    <row r="31" spans="2:15" s="5" customFormat="1" ht="23.25" customHeight="1">
      <c r="B31" s="3" t="s">
        <v>504</v>
      </c>
      <c r="C31" s="3" t="s">
        <v>371</v>
      </c>
      <c r="D31" s="29" t="s">
        <v>415</v>
      </c>
      <c r="E31" s="1" t="s">
        <v>386</v>
      </c>
      <c r="F31" s="3" t="s">
        <v>412</v>
      </c>
      <c r="G31" s="32">
        <v>6945</v>
      </c>
      <c r="H31" s="32"/>
      <c r="I31" s="32">
        <f>G31+H31</f>
        <v>6945</v>
      </c>
      <c r="J31" s="32">
        <v>137.3</v>
      </c>
      <c r="K31" s="32">
        <f>I31+J31</f>
        <v>7082.3</v>
      </c>
      <c r="L31" s="32"/>
      <c r="M31" s="32">
        <f>K31+L31</f>
        <v>7082.3</v>
      </c>
      <c r="N31" s="32"/>
      <c r="O31" s="32">
        <f>M31+N31</f>
        <v>7082.3</v>
      </c>
    </row>
    <row r="32" spans="2:15" s="5" customFormat="1" ht="15.75" hidden="1">
      <c r="B32" s="45" t="s">
        <v>505</v>
      </c>
      <c r="C32" s="45" t="s">
        <v>357</v>
      </c>
      <c r="D32" s="86" t="s">
        <v>373</v>
      </c>
      <c r="E32" s="12"/>
      <c r="F32" s="12"/>
      <c r="G32" s="33">
        <f>G33</f>
        <v>0</v>
      </c>
      <c r="H32" s="33">
        <f>H33</f>
        <v>0</v>
      </c>
      <c r="I32" s="33"/>
      <c r="J32" s="33"/>
      <c r="K32" s="33"/>
      <c r="L32" s="33"/>
      <c r="M32" s="33"/>
      <c r="N32" s="33"/>
      <c r="O32" s="33"/>
    </row>
    <row r="33" spans="2:15" s="5" customFormat="1" ht="15.75" hidden="1">
      <c r="B33" s="3" t="s">
        <v>506</v>
      </c>
      <c r="C33" s="3" t="s">
        <v>357</v>
      </c>
      <c r="D33" s="35" t="s">
        <v>329</v>
      </c>
      <c r="E33" s="2"/>
      <c r="F33" s="2"/>
      <c r="G33" s="32">
        <f>G34+G35+G36</f>
        <v>0</v>
      </c>
      <c r="H33" s="32"/>
      <c r="I33" s="32"/>
      <c r="J33" s="32"/>
      <c r="K33" s="32"/>
      <c r="L33" s="32"/>
      <c r="M33" s="32"/>
      <c r="N33" s="32"/>
      <c r="O33" s="32"/>
    </row>
    <row r="34" spans="2:15" s="5" customFormat="1" ht="15.75" hidden="1">
      <c r="B34" s="3" t="s">
        <v>507</v>
      </c>
      <c r="C34" s="3" t="s">
        <v>357</v>
      </c>
      <c r="D34" s="29" t="s">
        <v>415</v>
      </c>
      <c r="E34" s="1" t="s">
        <v>386</v>
      </c>
      <c r="F34" s="3" t="s">
        <v>412</v>
      </c>
      <c r="G34" s="32"/>
      <c r="H34" s="32"/>
      <c r="I34" s="32"/>
      <c r="J34" s="32"/>
      <c r="K34" s="32"/>
      <c r="L34" s="32"/>
      <c r="M34" s="32"/>
      <c r="N34" s="32"/>
      <c r="O34" s="32"/>
    </row>
    <row r="35" spans="2:15" s="5" customFormat="1" ht="15.75" hidden="1">
      <c r="B35" s="3" t="s">
        <v>508</v>
      </c>
      <c r="C35" s="3" t="s">
        <v>357</v>
      </c>
      <c r="D35" s="35" t="s">
        <v>477</v>
      </c>
      <c r="E35" s="1" t="s">
        <v>386</v>
      </c>
      <c r="F35" s="1" t="s">
        <v>374</v>
      </c>
      <c r="G35" s="32"/>
      <c r="H35" s="32"/>
      <c r="I35" s="32"/>
      <c r="J35" s="32"/>
      <c r="K35" s="32"/>
      <c r="L35" s="32"/>
      <c r="M35" s="32"/>
      <c r="N35" s="32"/>
      <c r="O35" s="32"/>
    </row>
    <row r="36" spans="2:15" s="5" customFormat="1" ht="31.5" hidden="1">
      <c r="B36" s="3" t="s">
        <v>509</v>
      </c>
      <c r="C36" s="3" t="s">
        <v>357</v>
      </c>
      <c r="D36" s="35" t="s">
        <v>478</v>
      </c>
      <c r="E36" s="1" t="s">
        <v>387</v>
      </c>
      <c r="F36" s="3" t="s">
        <v>375</v>
      </c>
      <c r="G36" s="32"/>
      <c r="H36" s="32"/>
      <c r="I36" s="32"/>
      <c r="J36" s="32"/>
      <c r="K36" s="32"/>
      <c r="L36" s="32"/>
      <c r="M36" s="32"/>
      <c r="N36" s="32"/>
      <c r="O36" s="32"/>
    </row>
    <row r="37" spans="2:15" s="55" customFormat="1" ht="35.25" customHeight="1">
      <c r="B37" s="23" t="s">
        <v>505</v>
      </c>
      <c r="C37" s="23" t="s">
        <v>621</v>
      </c>
      <c r="D37" s="40" t="s">
        <v>622</v>
      </c>
      <c r="E37" s="21"/>
      <c r="F37" s="23"/>
      <c r="G37" s="31">
        <f aca="true" t="shared" si="8" ref="G37:O37">G38</f>
        <v>3750</v>
      </c>
      <c r="H37" s="31">
        <f t="shared" si="8"/>
        <v>0</v>
      </c>
      <c r="I37" s="31">
        <f t="shared" si="8"/>
        <v>3750</v>
      </c>
      <c r="J37" s="31">
        <f t="shared" si="8"/>
        <v>0</v>
      </c>
      <c r="K37" s="31">
        <f t="shared" si="8"/>
        <v>3750</v>
      </c>
      <c r="L37" s="31">
        <f t="shared" si="8"/>
        <v>0</v>
      </c>
      <c r="M37" s="31">
        <f t="shared" si="8"/>
        <v>3750</v>
      </c>
      <c r="N37" s="31">
        <f t="shared" si="8"/>
        <v>0</v>
      </c>
      <c r="O37" s="31">
        <f t="shared" si="8"/>
        <v>3750</v>
      </c>
    </row>
    <row r="38" spans="2:15" s="5" customFormat="1" ht="33.75" customHeight="1">
      <c r="B38" s="3" t="s">
        <v>506</v>
      </c>
      <c r="C38" s="3" t="s">
        <v>621</v>
      </c>
      <c r="D38" s="35" t="s">
        <v>623</v>
      </c>
      <c r="E38" s="1"/>
      <c r="F38" s="3"/>
      <c r="G38" s="32">
        <f>G39</f>
        <v>3750</v>
      </c>
      <c r="H38" s="32"/>
      <c r="I38" s="32">
        <f aca="true" t="shared" si="9" ref="I38:O38">I39</f>
        <v>3750</v>
      </c>
      <c r="J38" s="32">
        <f t="shared" si="9"/>
        <v>0</v>
      </c>
      <c r="K38" s="32">
        <f t="shared" si="9"/>
        <v>3750</v>
      </c>
      <c r="L38" s="32">
        <f t="shared" si="9"/>
        <v>0</v>
      </c>
      <c r="M38" s="32">
        <f t="shared" si="9"/>
        <v>3750</v>
      </c>
      <c r="N38" s="32">
        <f t="shared" si="9"/>
        <v>0</v>
      </c>
      <c r="O38" s="32">
        <f t="shared" si="9"/>
        <v>3750</v>
      </c>
    </row>
    <row r="39" spans="2:15" s="5" customFormat="1" ht="33" customHeight="1">
      <c r="B39" s="3" t="s">
        <v>507</v>
      </c>
      <c r="C39" s="3" t="s">
        <v>621</v>
      </c>
      <c r="D39" s="35" t="s">
        <v>68</v>
      </c>
      <c r="E39" s="1" t="s">
        <v>624</v>
      </c>
      <c r="F39" s="3" t="s">
        <v>607</v>
      </c>
      <c r="G39" s="32">
        <v>3750</v>
      </c>
      <c r="H39" s="32"/>
      <c r="I39" s="32">
        <f>G39+H39</f>
        <v>3750</v>
      </c>
      <c r="J39" s="32"/>
      <c r="K39" s="32">
        <f>I39+J39</f>
        <v>3750</v>
      </c>
      <c r="L39" s="32"/>
      <c r="M39" s="32">
        <f>K39+L39</f>
        <v>3750</v>
      </c>
      <c r="N39" s="32"/>
      <c r="O39" s="32">
        <f>M39+N39</f>
        <v>3750</v>
      </c>
    </row>
    <row r="40" spans="2:15" s="55" customFormat="1" ht="27" customHeight="1">
      <c r="B40" s="23" t="s">
        <v>508</v>
      </c>
      <c r="C40" s="23" t="s">
        <v>358</v>
      </c>
      <c r="D40" s="40" t="s">
        <v>408</v>
      </c>
      <c r="E40" s="22"/>
      <c r="F40" s="22"/>
      <c r="G40" s="31">
        <f aca="true" t="shared" si="10" ref="G40:O40">G41</f>
        <v>1000</v>
      </c>
      <c r="H40" s="31">
        <f t="shared" si="10"/>
        <v>0</v>
      </c>
      <c r="I40" s="31">
        <f t="shared" si="10"/>
        <v>1000</v>
      </c>
      <c r="J40" s="31">
        <f t="shared" si="10"/>
        <v>0</v>
      </c>
      <c r="K40" s="31">
        <f t="shared" si="10"/>
        <v>1000</v>
      </c>
      <c r="L40" s="31">
        <f t="shared" si="10"/>
        <v>0</v>
      </c>
      <c r="M40" s="31">
        <f t="shared" si="10"/>
        <v>1000</v>
      </c>
      <c r="N40" s="31">
        <f t="shared" si="10"/>
        <v>0</v>
      </c>
      <c r="O40" s="31">
        <f t="shared" si="10"/>
        <v>1000</v>
      </c>
    </row>
    <row r="41" spans="2:15" s="5" customFormat="1" ht="30.75" customHeight="1">
      <c r="B41" s="3" t="s">
        <v>509</v>
      </c>
      <c r="C41" s="3" t="s">
        <v>358</v>
      </c>
      <c r="D41" s="35" t="s">
        <v>436</v>
      </c>
      <c r="E41" s="1" t="s">
        <v>388</v>
      </c>
      <c r="F41" s="1" t="s">
        <v>376</v>
      </c>
      <c r="G41" s="32">
        <v>1000</v>
      </c>
      <c r="H41" s="32"/>
      <c r="I41" s="32">
        <f>G41+H41</f>
        <v>1000</v>
      </c>
      <c r="J41" s="32"/>
      <c r="K41" s="32">
        <f>I41+J41</f>
        <v>1000</v>
      </c>
      <c r="L41" s="32"/>
      <c r="M41" s="32">
        <f>K41+L41</f>
        <v>1000</v>
      </c>
      <c r="N41" s="32"/>
      <c r="O41" s="32">
        <f>M41+N41</f>
        <v>1000</v>
      </c>
    </row>
    <row r="42" spans="2:15" s="55" customFormat="1" ht="27.75" customHeight="1">
      <c r="B42" s="23" t="s">
        <v>510</v>
      </c>
      <c r="C42" s="23" t="s">
        <v>377</v>
      </c>
      <c r="D42" s="40" t="s">
        <v>378</v>
      </c>
      <c r="E42" s="22"/>
      <c r="F42" s="22"/>
      <c r="G42" s="31">
        <f>G43+G45+G46</f>
        <v>-36172.2</v>
      </c>
      <c r="H42" s="31">
        <f aca="true" t="shared" si="11" ref="H42:O42">H43+H45+H46+H44</f>
        <v>4</v>
      </c>
      <c r="I42" s="31">
        <f t="shared" si="11"/>
        <v>-36168.2</v>
      </c>
      <c r="J42" s="31">
        <f t="shared" si="11"/>
        <v>0</v>
      </c>
      <c r="K42" s="31">
        <f t="shared" si="11"/>
        <v>-36168.2</v>
      </c>
      <c r="L42" s="31">
        <f t="shared" si="11"/>
        <v>20</v>
      </c>
      <c r="M42" s="31">
        <f t="shared" si="11"/>
        <v>-36148.2</v>
      </c>
      <c r="N42" s="31">
        <f t="shared" si="11"/>
        <v>0</v>
      </c>
      <c r="O42" s="31">
        <f t="shared" si="11"/>
        <v>-36148.2</v>
      </c>
    </row>
    <row r="43" spans="2:15" s="5" customFormat="1" ht="36.75" customHeight="1">
      <c r="B43" s="3" t="s">
        <v>511</v>
      </c>
      <c r="C43" s="3" t="s">
        <v>377</v>
      </c>
      <c r="D43" s="35" t="s">
        <v>248</v>
      </c>
      <c r="E43" s="1" t="s">
        <v>386</v>
      </c>
      <c r="F43" s="1">
        <v>202</v>
      </c>
      <c r="G43" s="32">
        <v>950</v>
      </c>
      <c r="H43" s="32"/>
      <c r="I43" s="32">
        <f>G43+H43</f>
        <v>950</v>
      </c>
      <c r="J43" s="32"/>
      <c r="K43" s="32">
        <f>I43+J43</f>
        <v>950</v>
      </c>
      <c r="L43" s="32"/>
      <c r="M43" s="32">
        <f>K43+L43</f>
        <v>950</v>
      </c>
      <c r="N43" s="32"/>
      <c r="O43" s="32">
        <f>M43+N43</f>
        <v>950</v>
      </c>
    </row>
    <row r="44" spans="2:15" s="5" customFormat="1" ht="75" customHeight="1">
      <c r="B44" s="3" t="s">
        <v>203</v>
      </c>
      <c r="C44" s="3" t="s">
        <v>377</v>
      </c>
      <c r="D44" s="29" t="s">
        <v>100</v>
      </c>
      <c r="E44" s="1" t="s">
        <v>397</v>
      </c>
      <c r="F44" s="1">
        <v>216</v>
      </c>
      <c r="G44" s="32">
        <v>0</v>
      </c>
      <c r="H44" s="32">
        <v>4</v>
      </c>
      <c r="I44" s="32">
        <f>G44+H44</f>
        <v>4</v>
      </c>
      <c r="J44" s="32"/>
      <c r="K44" s="32">
        <f>I44+J44</f>
        <v>4</v>
      </c>
      <c r="L44" s="32">
        <v>20</v>
      </c>
      <c r="M44" s="32">
        <f>K44+L44</f>
        <v>24</v>
      </c>
      <c r="N44" s="32"/>
      <c r="O44" s="32">
        <f>M44+N44</f>
        <v>24</v>
      </c>
    </row>
    <row r="45" spans="2:15" s="5" customFormat="1" ht="22.5" customHeight="1">
      <c r="B45" s="3" t="s">
        <v>512</v>
      </c>
      <c r="C45" s="3" t="s">
        <v>377</v>
      </c>
      <c r="D45" s="35" t="s">
        <v>396</v>
      </c>
      <c r="E45" s="1" t="s">
        <v>397</v>
      </c>
      <c r="F45" s="1">
        <v>520</v>
      </c>
      <c r="G45" s="32">
        <f>-12838-6000-139640.9+6000</f>
        <v>-152478.9</v>
      </c>
      <c r="H45" s="32"/>
      <c r="I45" s="32">
        <f>G45+H45</f>
        <v>-152478.9</v>
      </c>
      <c r="J45" s="32"/>
      <c r="K45" s="32">
        <f>I45+J45</f>
        <v>-152478.9</v>
      </c>
      <c r="L45" s="32"/>
      <c r="M45" s="32">
        <f>K45+L45</f>
        <v>-152478.9</v>
      </c>
      <c r="N45" s="32"/>
      <c r="O45" s="32">
        <f>M45+N45</f>
        <v>-152478.9</v>
      </c>
    </row>
    <row r="46" spans="2:15" s="5" customFormat="1" ht="47.25">
      <c r="B46" s="3" t="s">
        <v>513</v>
      </c>
      <c r="C46" s="3" t="s">
        <v>377</v>
      </c>
      <c r="D46" s="35" t="s">
        <v>213</v>
      </c>
      <c r="E46" s="1" t="s">
        <v>181</v>
      </c>
      <c r="F46" s="1">
        <v>909</v>
      </c>
      <c r="G46" s="32">
        <v>115356.7</v>
      </c>
      <c r="H46" s="32"/>
      <c r="I46" s="32">
        <f>G46+H46</f>
        <v>115356.7</v>
      </c>
      <c r="J46" s="32"/>
      <c r="K46" s="32">
        <f>I46+J46</f>
        <v>115356.7</v>
      </c>
      <c r="L46" s="32"/>
      <c r="M46" s="32">
        <f>K46+L46</f>
        <v>115356.7</v>
      </c>
      <c r="N46" s="32"/>
      <c r="O46" s="32">
        <f>M46+N46</f>
        <v>115356.7</v>
      </c>
    </row>
    <row r="47" spans="2:15" s="5" customFormat="1" ht="34.5" customHeight="1">
      <c r="B47" s="6" t="s">
        <v>514</v>
      </c>
      <c r="C47" s="6" t="s">
        <v>333</v>
      </c>
      <c r="D47" s="38" t="s">
        <v>426</v>
      </c>
      <c r="E47" s="7"/>
      <c r="F47" s="7"/>
      <c r="G47" s="30" t="e">
        <f aca="true" t="shared" si="12" ref="G47:O47">G48+G58</f>
        <v>#REF!</v>
      </c>
      <c r="H47" s="30" t="e">
        <f t="shared" si="12"/>
        <v>#REF!</v>
      </c>
      <c r="I47" s="30">
        <f t="shared" si="12"/>
        <v>128369.00631</v>
      </c>
      <c r="J47" s="30">
        <f t="shared" si="12"/>
        <v>1786.1440000000014</v>
      </c>
      <c r="K47" s="30">
        <f t="shared" si="12"/>
        <v>130155.15031</v>
      </c>
      <c r="L47" s="30">
        <f t="shared" si="12"/>
        <v>-20</v>
      </c>
      <c r="M47" s="30">
        <f t="shared" si="12"/>
        <v>130135.15031</v>
      </c>
      <c r="N47" s="30">
        <f t="shared" si="12"/>
        <v>-2114.15</v>
      </c>
      <c r="O47" s="30">
        <f t="shared" si="12"/>
        <v>128021.00031</v>
      </c>
    </row>
    <row r="48" spans="2:15" s="55" customFormat="1" ht="24" customHeight="1">
      <c r="B48" s="23" t="s">
        <v>515</v>
      </c>
      <c r="C48" s="23" t="s">
        <v>332</v>
      </c>
      <c r="D48" s="39" t="s">
        <v>314</v>
      </c>
      <c r="E48" s="22"/>
      <c r="F48" s="22"/>
      <c r="G48" s="31">
        <f>G49</f>
        <v>112015.70000000001</v>
      </c>
      <c r="H48" s="31">
        <f aca="true" t="shared" si="13" ref="H48:O48">H49+H57</f>
        <v>315.70631</v>
      </c>
      <c r="I48" s="31">
        <f t="shared" si="13"/>
        <v>112331.40631</v>
      </c>
      <c r="J48" s="31">
        <f t="shared" si="13"/>
        <v>1565.4440000000013</v>
      </c>
      <c r="K48" s="31">
        <f t="shared" si="13"/>
        <v>113896.85031</v>
      </c>
      <c r="L48" s="31">
        <f t="shared" si="13"/>
        <v>-20</v>
      </c>
      <c r="M48" s="31">
        <f t="shared" si="13"/>
        <v>113876.85031</v>
      </c>
      <c r="N48" s="31">
        <f t="shared" si="13"/>
        <v>0</v>
      </c>
      <c r="O48" s="31">
        <f t="shared" si="13"/>
        <v>113876.85031</v>
      </c>
    </row>
    <row r="49" spans="2:15" s="5" customFormat="1" ht="27" customHeight="1">
      <c r="B49" s="3" t="s">
        <v>651</v>
      </c>
      <c r="C49" s="3" t="s">
        <v>332</v>
      </c>
      <c r="D49" s="29" t="s">
        <v>249</v>
      </c>
      <c r="E49" s="1"/>
      <c r="F49" s="1"/>
      <c r="G49" s="32">
        <f>G50+G51+G52+G53+G54+G55</f>
        <v>112015.70000000001</v>
      </c>
      <c r="H49" s="32">
        <f>H50+H51+H52+H53+H54+H55</f>
        <v>0</v>
      </c>
      <c r="I49" s="32">
        <f>I50+I51+I52+I53+I54+I55</f>
        <v>112015.70000000001</v>
      </c>
      <c r="J49" s="32">
        <f aca="true" t="shared" si="14" ref="J49:O49">J50+J51+J52+J53+J54+J55+J56</f>
        <v>1565.4440000000013</v>
      </c>
      <c r="K49" s="32">
        <f t="shared" si="14"/>
        <v>113581.144</v>
      </c>
      <c r="L49" s="32">
        <f t="shared" si="14"/>
        <v>-20</v>
      </c>
      <c r="M49" s="32">
        <f t="shared" si="14"/>
        <v>113561.144</v>
      </c>
      <c r="N49" s="32">
        <f t="shared" si="14"/>
        <v>0</v>
      </c>
      <c r="O49" s="32">
        <f t="shared" si="14"/>
        <v>113561.144</v>
      </c>
    </row>
    <row r="50" spans="2:15" s="5" customFormat="1" ht="32.25" customHeight="1">
      <c r="B50" s="3" t="s">
        <v>516</v>
      </c>
      <c r="C50" s="3" t="s">
        <v>332</v>
      </c>
      <c r="D50" s="29" t="s">
        <v>416</v>
      </c>
      <c r="E50" s="1" t="s">
        <v>389</v>
      </c>
      <c r="F50" s="1">
        <v>220</v>
      </c>
      <c r="G50" s="32">
        <f>1779.8+57</f>
        <v>1836.8</v>
      </c>
      <c r="H50" s="32"/>
      <c r="I50" s="32">
        <f aca="true" t="shared" si="15" ref="I50:I55">G50+H50</f>
        <v>1836.8</v>
      </c>
      <c r="J50" s="32"/>
      <c r="K50" s="32">
        <f aca="true" t="shared" si="16" ref="K50:K57">I50+J50</f>
        <v>1836.8</v>
      </c>
      <c r="L50" s="32"/>
      <c r="M50" s="32">
        <f aca="true" t="shared" si="17" ref="M50:M57">K50+L50</f>
        <v>1836.8</v>
      </c>
      <c r="N50" s="32"/>
      <c r="O50" s="32">
        <f aca="true" t="shared" si="18" ref="O50:O57">M50+N50</f>
        <v>1836.8</v>
      </c>
    </row>
    <row r="51" spans="2:15" s="5" customFormat="1" ht="27" customHeight="1">
      <c r="B51" s="3" t="s">
        <v>517</v>
      </c>
      <c r="C51" s="3" t="s">
        <v>332</v>
      </c>
      <c r="D51" s="29" t="s">
        <v>417</v>
      </c>
      <c r="E51" s="1" t="s">
        <v>389</v>
      </c>
      <c r="F51" s="1">
        <v>221</v>
      </c>
      <c r="G51" s="32">
        <f>2144.3+80.4</f>
        <v>2224.7000000000003</v>
      </c>
      <c r="H51" s="32"/>
      <c r="I51" s="32">
        <f t="shared" si="15"/>
        <v>2224.7000000000003</v>
      </c>
      <c r="J51" s="32"/>
      <c r="K51" s="32">
        <f t="shared" si="16"/>
        <v>2224.7000000000003</v>
      </c>
      <c r="L51" s="32"/>
      <c r="M51" s="32">
        <f t="shared" si="17"/>
        <v>2224.7000000000003</v>
      </c>
      <c r="N51" s="32"/>
      <c r="O51" s="32">
        <f t="shared" si="18"/>
        <v>2224.7000000000003</v>
      </c>
    </row>
    <row r="52" spans="2:15" s="36" customFormat="1" ht="28.5" customHeight="1">
      <c r="B52" s="3" t="s">
        <v>518</v>
      </c>
      <c r="C52" s="3" t="s">
        <v>332</v>
      </c>
      <c r="D52" s="29" t="s">
        <v>418</v>
      </c>
      <c r="E52" s="1" t="s">
        <v>389</v>
      </c>
      <c r="F52" s="1">
        <v>239</v>
      </c>
      <c r="G52" s="32">
        <f>60006.7+2343.8</f>
        <v>62350.5</v>
      </c>
      <c r="H52" s="32"/>
      <c r="I52" s="32">
        <f t="shared" si="15"/>
        <v>62350.5</v>
      </c>
      <c r="J52" s="32">
        <f>-4630.614+1976.2</f>
        <v>-2654.4139999999998</v>
      </c>
      <c r="K52" s="32">
        <f t="shared" si="16"/>
        <v>59696.086</v>
      </c>
      <c r="L52" s="32"/>
      <c r="M52" s="32">
        <f t="shared" si="17"/>
        <v>59696.086</v>
      </c>
      <c r="N52" s="32"/>
      <c r="O52" s="32">
        <f t="shared" si="18"/>
        <v>59696.086</v>
      </c>
    </row>
    <row r="53" spans="2:15" s="36" customFormat="1" ht="30" customHeight="1">
      <c r="B53" s="3" t="s">
        <v>519</v>
      </c>
      <c r="C53" s="3" t="s">
        <v>332</v>
      </c>
      <c r="D53" s="29" t="s">
        <v>419</v>
      </c>
      <c r="E53" s="1" t="s">
        <v>389</v>
      </c>
      <c r="F53" s="1">
        <v>240</v>
      </c>
      <c r="G53" s="32">
        <f>4630+1942.5</f>
        <v>6572.5</v>
      </c>
      <c r="H53" s="32"/>
      <c r="I53" s="32">
        <f t="shared" si="15"/>
        <v>6572.5</v>
      </c>
      <c r="J53" s="32">
        <f>-31.472-1976.2</f>
        <v>-2007.672</v>
      </c>
      <c r="K53" s="32">
        <f t="shared" si="16"/>
        <v>4564.8279999999995</v>
      </c>
      <c r="L53" s="32"/>
      <c r="M53" s="32">
        <f t="shared" si="17"/>
        <v>4564.8279999999995</v>
      </c>
      <c r="N53" s="32"/>
      <c r="O53" s="32">
        <f t="shared" si="18"/>
        <v>4564.8279999999995</v>
      </c>
    </row>
    <row r="54" spans="2:15" s="5" customFormat="1" ht="30.75" customHeight="1">
      <c r="B54" s="3" t="s">
        <v>204</v>
      </c>
      <c r="C54" s="3" t="s">
        <v>332</v>
      </c>
      <c r="D54" s="29" t="s">
        <v>420</v>
      </c>
      <c r="E54" s="1" t="s">
        <v>389</v>
      </c>
      <c r="F54" s="1">
        <v>253</v>
      </c>
      <c r="G54" s="32">
        <f>30641.2+3764+1724.9</f>
        <v>36130.1</v>
      </c>
      <c r="H54" s="32"/>
      <c r="I54" s="32">
        <f t="shared" si="15"/>
        <v>36130.1</v>
      </c>
      <c r="J54" s="32"/>
      <c r="K54" s="32">
        <f t="shared" si="16"/>
        <v>36130.1</v>
      </c>
      <c r="L54" s="32"/>
      <c r="M54" s="32">
        <f t="shared" si="17"/>
        <v>36130.1</v>
      </c>
      <c r="N54" s="32"/>
      <c r="O54" s="32">
        <f t="shared" si="18"/>
        <v>36130.1</v>
      </c>
    </row>
    <row r="55" spans="2:15" s="5" customFormat="1" ht="39" customHeight="1">
      <c r="B55" s="3" t="s">
        <v>205</v>
      </c>
      <c r="C55" s="3" t="s">
        <v>332</v>
      </c>
      <c r="D55" s="29" t="s">
        <v>421</v>
      </c>
      <c r="E55" s="1" t="s">
        <v>389</v>
      </c>
      <c r="F55" s="1">
        <v>472</v>
      </c>
      <c r="G55" s="32">
        <f>2703+198.1</f>
        <v>2901.1</v>
      </c>
      <c r="H55" s="32"/>
      <c r="I55" s="32">
        <f t="shared" si="15"/>
        <v>2901.1</v>
      </c>
      <c r="J55" s="32">
        <f>102.93</f>
        <v>102.93</v>
      </c>
      <c r="K55" s="32">
        <f t="shared" si="16"/>
        <v>3004.0299999999997</v>
      </c>
      <c r="L55" s="32">
        <v>-20</v>
      </c>
      <c r="M55" s="32">
        <f t="shared" si="17"/>
        <v>2984.0299999999997</v>
      </c>
      <c r="N55" s="32"/>
      <c r="O55" s="32">
        <f t="shared" si="18"/>
        <v>2984.0299999999997</v>
      </c>
    </row>
    <row r="56" spans="2:15" s="5" customFormat="1" ht="52.5" customHeight="1">
      <c r="B56" s="3" t="s">
        <v>206</v>
      </c>
      <c r="C56" s="3" t="s">
        <v>332</v>
      </c>
      <c r="D56" s="29" t="s">
        <v>200</v>
      </c>
      <c r="E56" s="1" t="s">
        <v>84</v>
      </c>
      <c r="F56" s="1">
        <v>532</v>
      </c>
      <c r="G56" s="32"/>
      <c r="H56" s="32"/>
      <c r="I56" s="32">
        <v>0</v>
      </c>
      <c r="J56" s="32">
        <v>6124.6</v>
      </c>
      <c r="K56" s="32">
        <f t="shared" si="16"/>
        <v>6124.6</v>
      </c>
      <c r="L56" s="32"/>
      <c r="M56" s="32">
        <f t="shared" si="17"/>
        <v>6124.6</v>
      </c>
      <c r="N56" s="32"/>
      <c r="O56" s="32">
        <f t="shared" si="18"/>
        <v>6124.6</v>
      </c>
    </row>
    <row r="57" spans="2:15" s="5" customFormat="1" ht="28.5" customHeight="1">
      <c r="B57" s="3" t="s">
        <v>207</v>
      </c>
      <c r="C57" s="3" t="s">
        <v>332</v>
      </c>
      <c r="D57" s="87" t="s">
        <v>184</v>
      </c>
      <c r="E57" s="1" t="s">
        <v>389</v>
      </c>
      <c r="F57" s="1" t="s">
        <v>18</v>
      </c>
      <c r="G57" s="32">
        <v>0</v>
      </c>
      <c r="H57" s="32">
        <v>315.70631</v>
      </c>
      <c r="I57" s="32">
        <f>G57+H57</f>
        <v>315.70631</v>
      </c>
      <c r="J57" s="32"/>
      <c r="K57" s="32">
        <f t="shared" si="16"/>
        <v>315.70631</v>
      </c>
      <c r="L57" s="32"/>
      <c r="M57" s="32">
        <f t="shared" si="17"/>
        <v>315.70631</v>
      </c>
      <c r="N57" s="32"/>
      <c r="O57" s="32">
        <f t="shared" si="18"/>
        <v>315.70631</v>
      </c>
    </row>
    <row r="58" spans="2:15" s="5" customFormat="1" ht="33">
      <c r="B58" s="23" t="s">
        <v>208</v>
      </c>
      <c r="C58" s="23" t="s">
        <v>334</v>
      </c>
      <c r="D58" s="39" t="s">
        <v>409</v>
      </c>
      <c r="E58" s="21"/>
      <c r="F58" s="21"/>
      <c r="G58" s="31" t="e">
        <f aca="true" t="shared" si="19" ref="G58:O58">G59+G61</f>
        <v>#REF!</v>
      </c>
      <c r="H58" s="31" t="e">
        <f t="shared" si="19"/>
        <v>#REF!</v>
      </c>
      <c r="I58" s="31">
        <f t="shared" si="19"/>
        <v>16037.599999999999</v>
      </c>
      <c r="J58" s="31">
        <f t="shared" si="19"/>
        <v>220.7</v>
      </c>
      <c r="K58" s="31">
        <f t="shared" si="19"/>
        <v>16258.3</v>
      </c>
      <c r="L58" s="31">
        <f t="shared" si="19"/>
        <v>0</v>
      </c>
      <c r="M58" s="31">
        <f t="shared" si="19"/>
        <v>16258.3</v>
      </c>
      <c r="N58" s="31">
        <f t="shared" si="19"/>
        <v>-2114.15</v>
      </c>
      <c r="O58" s="31">
        <f t="shared" si="19"/>
        <v>14144.15</v>
      </c>
    </row>
    <row r="59" spans="2:15" s="5" customFormat="1" ht="30.75" customHeight="1">
      <c r="B59" s="3" t="s">
        <v>209</v>
      </c>
      <c r="C59" s="3" t="s">
        <v>334</v>
      </c>
      <c r="D59" s="29" t="s">
        <v>250</v>
      </c>
      <c r="E59" s="1"/>
      <c r="F59" s="37"/>
      <c r="G59" s="32">
        <f aca="true" t="shared" si="20" ref="G59:O59">G60</f>
        <v>3806.4</v>
      </c>
      <c r="H59" s="32">
        <f t="shared" si="20"/>
        <v>-690.6</v>
      </c>
      <c r="I59" s="32">
        <f t="shared" si="20"/>
        <v>3115.8</v>
      </c>
      <c r="J59" s="32">
        <f t="shared" si="20"/>
        <v>48.5</v>
      </c>
      <c r="K59" s="32">
        <f t="shared" si="20"/>
        <v>3164.3</v>
      </c>
      <c r="L59" s="32">
        <f t="shared" si="20"/>
        <v>0</v>
      </c>
      <c r="M59" s="32">
        <f t="shared" si="20"/>
        <v>3164.3</v>
      </c>
      <c r="N59" s="32">
        <f t="shared" si="20"/>
        <v>0</v>
      </c>
      <c r="O59" s="32">
        <f t="shared" si="20"/>
        <v>3164.3</v>
      </c>
    </row>
    <row r="60" spans="2:15" s="36" customFormat="1" ht="30" customHeight="1">
      <c r="B60" s="3" t="s">
        <v>210</v>
      </c>
      <c r="C60" s="3" t="s">
        <v>334</v>
      </c>
      <c r="D60" s="29" t="s">
        <v>415</v>
      </c>
      <c r="E60" s="1" t="s">
        <v>386</v>
      </c>
      <c r="F60" s="37" t="s">
        <v>412</v>
      </c>
      <c r="G60" s="32">
        <f>3115.8+690.6</f>
        <v>3806.4</v>
      </c>
      <c r="H60" s="32">
        <v>-690.6</v>
      </c>
      <c r="I60" s="32">
        <f>G60+H60</f>
        <v>3115.8</v>
      </c>
      <c r="J60" s="32">
        <v>48.5</v>
      </c>
      <c r="K60" s="32">
        <f>I60+J60</f>
        <v>3164.3</v>
      </c>
      <c r="L60" s="32"/>
      <c r="M60" s="32">
        <f>K60+L60</f>
        <v>3164.3</v>
      </c>
      <c r="N60" s="32"/>
      <c r="O60" s="32">
        <f>M60+N60</f>
        <v>3164.3</v>
      </c>
    </row>
    <row r="61" spans="2:15" s="36" customFormat="1" ht="24.75" customHeight="1">
      <c r="B61" s="3" t="s">
        <v>652</v>
      </c>
      <c r="C61" s="3" t="s">
        <v>334</v>
      </c>
      <c r="D61" s="29" t="s">
        <v>251</v>
      </c>
      <c r="E61" s="1"/>
      <c r="F61" s="1"/>
      <c r="G61" s="32" t="e">
        <f>G62+#REF!+G63+G64</f>
        <v>#REF!</v>
      </c>
      <c r="H61" s="32" t="e">
        <f>H62+#REF!+H63+H64</f>
        <v>#REF!</v>
      </c>
      <c r="I61" s="32">
        <f aca="true" t="shared" si="21" ref="I61:O61">I62+I63+I64</f>
        <v>12921.8</v>
      </c>
      <c r="J61" s="32">
        <f t="shared" si="21"/>
        <v>172.2</v>
      </c>
      <c r="K61" s="32">
        <f t="shared" si="21"/>
        <v>13094</v>
      </c>
      <c r="L61" s="32">
        <f t="shared" si="21"/>
        <v>0</v>
      </c>
      <c r="M61" s="32">
        <f t="shared" si="21"/>
        <v>13094</v>
      </c>
      <c r="N61" s="32">
        <f t="shared" si="21"/>
        <v>-2114.15</v>
      </c>
      <c r="O61" s="32">
        <f t="shared" si="21"/>
        <v>10979.85</v>
      </c>
    </row>
    <row r="62" spans="2:15" s="36" customFormat="1" ht="33.75" customHeight="1">
      <c r="B62" s="66" t="s">
        <v>520</v>
      </c>
      <c r="C62" s="66" t="s">
        <v>334</v>
      </c>
      <c r="D62" s="75" t="s">
        <v>415</v>
      </c>
      <c r="E62" s="67" t="s">
        <v>386</v>
      </c>
      <c r="F62" s="76" t="s">
        <v>412</v>
      </c>
      <c r="G62" s="68">
        <v>8787.4</v>
      </c>
      <c r="H62" s="68">
        <v>690.6</v>
      </c>
      <c r="I62" s="68">
        <f>G62+H62</f>
        <v>9478</v>
      </c>
      <c r="J62" s="68">
        <v>172.2</v>
      </c>
      <c r="K62" s="68">
        <f>I62+J62</f>
        <v>9650.2</v>
      </c>
      <c r="L62" s="68"/>
      <c r="M62" s="68">
        <f>K62+L62</f>
        <v>9650.2</v>
      </c>
      <c r="N62" s="68">
        <v>200</v>
      </c>
      <c r="O62" s="68">
        <f>M62+N62</f>
        <v>9850.2</v>
      </c>
    </row>
    <row r="63" spans="2:15" s="36" customFormat="1" ht="31.5">
      <c r="B63" s="66" t="s">
        <v>521</v>
      </c>
      <c r="C63" s="66" t="s">
        <v>334</v>
      </c>
      <c r="D63" s="75" t="s">
        <v>414</v>
      </c>
      <c r="E63" s="67" t="s">
        <v>627</v>
      </c>
      <c r="F63" s="67" t="s">
        <v>321</v>
      </c>
      <c r="G63" s="68">
        <v>2300</v>
      </c>
      <c r="H63" s="68"/>
      <c r="I63" s="68">
        <f>G63+H63</f>
        <v>2300</v>
      </c>
      <c r="J63" s="68"/>
      <c r="K63" s="68">
        <f>I63+J63</f>
        <v>2300</v>
      </c>
      <c r="L63" s="68"/>
      <c r="M63" s="68">
        <f>K63+L63</f>
        <v>2300</v>
      </c>
      <c r="N63" s="80">
        <f>-2300+185.85</f>
        <v>-2114.15</v>
      </c>
      <c r="O63" s="68">
        <f>M63+N63</f>
        <v>185.85</v>
      </c>
    </row>
    <row r="64" spans="2:15" s="36" customFormat="1" ht="34.5" customHeight="1">
      <c r="B64" s="66" t="s">
        <v>522</v>
      </c>
      <c r="C64" s="66" t="s">
        <v>334</v>
      </c>
      <c r="D64" s="75" t="s">
        <v>413</v>
      </c>
      <c r="E64" s="67" t="s">
        <v>390</v>
      </c>
      <c r="F64" s="67" t="s">
        <v>322</v>
      </c>
      <c r="G64" s="68">
        <f>1143.8</f>
        <v>1143.8</v>
      </c>
      <c r="H64" s="68"/>
      <c r="I64" s="68">
        <f>G64+H64</f>
        <v>1143.8</v>
      </c>
      <c r="J64" s="68"/>
      <c r="K64" s="68">
        <f>I64+J64</f>
        <v>1143.8</v>
      </c>
      <c r="L64" s="68"/>
      <c r="M64" s="68">
        <f>K64+L64</f>
        <v>1143.8</v>
      </c>
      <c r="N64" s="68">
        <v>-200</v>
      </c>
      <c r="O64" s="68">
        <f>M64+N64</f>
        <v>943.8</v>
      </c>
    </row>
    <row r="65" spans="2:15" s="36" customFormat="1" ht="31.5" customHeight="1">
      <c r="B65" s="6" t="s">
        <v>523</v>
      </c>
      <c r="C65" s="6" t="s">
        <v>335</v>
      </c>
      <c r="D65" s="38" t="s">
        <v>336</v>
      </c>
      <c r="E65" s="7"/>
      <c r="F65" s="7"/>
      <c r="G65" s="30">
        <f aca="true" t="shared" si="22" ref="G65:O65">+G66+G68+G72</f>
        <v>94585.9</v>
      </c>
      <c r="H65" s="30">
        <f t="shared" si="22"/>
        <v>2064.0697600000003</v>
      </c>
      <c r="I65" s="30">
        <f t="shared" si="22"/>
        <v>96649.96976</v>
      </c>
      <c r="J65" s="30">
        <f t="shared" si="22"/>
        <v>389.8000000000002</v>
      </c>
      <c r="K65" s="30">
        <f t="shared" si="22"/>
        <v>97039.76976</v>
      </c>
      <c r="L65" s="30">
        <f t="shared" si="22"/>
        <v>0</v>
      </c>
      <c r="M65" s="30">
        <f t="shared" si="22"/>
        <v>97039.76976</v>
      </c>
      <c r="N65" s="30">
        <f t="shared" si="22"/>
        <v>96033.42</v>
      </c>
      <c r="O65" s="30">
        <f t="shared" si="22"/>
        <v>193073.18976</v>
      </c>
    </row>
    <row r="66" spans="2:15" s="36" customFormat="1" ht="19.5" customHeight="1">
      <c r="B66" s="23" t="s">
        <v>524</v>
      </c>
      <c r="C66" s="23" t="s">
        <v>337</v>
      </c>
      <c r="D66" s="39" t="s">
        <v>338</v>
      </c>
      <c r="E66" s="21"/>
      <c r="F66" s="21"/>
      <c r="G66" s="31">
        <f aca="true" t="shared" si="23" ref="G66:O66">G67</f>
        <v>4463</v>
      </c>
      <c r="H66" s="31">
        <f t="shared" si="23"/>
        <v>72.26141</v>
      </c>
      <c r="I66" s="31">
        <f t="shared" si="23"/>
        <v>4535.26141</v>
      </c>
      <c r="J66" s="31">
        <f t="shared" si="23"/>
        <v>0</v>
      </c>
      <c r="K66" s="31">
        <f t="shared" si="23"/>
        <v>4535.26141</v>
      </c>
      <c r="L66" s="31">
        <f t="shared" si="23"/>
        <v>0</v>
      </c>
      <c r="M66" s="31">
        <f t="shared" si="23"/>
        <v>4535.26141</v>
      </c>
      <c r="N66" s="31">
        <f t="shared" si="23"/>
        <v>0</v>
      </c>
      <c r="O66" s="31">
        <f t="shared" si="23"/>
        <v>4535.26141</v>
      </c>
    </row>
    <row r="67" spans="2:15" s="36" customFormat="1" ht="33.75" customHeight="1">
      <c r="B67" s="3" t="s">
        <v>525</v>
      </c>
      <c r="C67" s="3" t="s">
        <v>337</v>
      </c>
      <c r="D67" s="29" t="s">
        <v>252</v>
      </c>
      <c r="E67" s="1" t="s">
        <v>215</v>
      </c>
      <c r="F67" s="1">
        <v>800</v>
      </c>
      <c r="G67" s="32">
        <f>3932+531</f>
        <v>4463</v>
      </c>
      <c r="H67" s="32">
        <v>72.26141</v>
      </c>
      <c r="I67" s="32">
        <f>G67+H67</f>
        <v>4535.26141</v>
      </c>
      <c r="J67" s="32"/>
      <c r="K67" s="32">
        <f>I67+J67</f>
        <v>4535.26141</v>
      </c>
      <c r="L67" s="32"/>
      <c r="M67" s="32">
        <f>K67+L67</f>
        <v>4535.26141</v>
      </c>
      <c r="N67" s="32"/>
      <c r="O67" s="32">
        <f>M67+N67</f>
        <v>4535.26141</v>
      </c>
    </row>
    <row r="68" spans="2:15" s="56" customFormat="1" ht="21" customHeight="1">
      <c r="B68" s="23" t="s">
        <v>653</v>
      </c>
      <c r="C68" s="23" t="s">
        <v>339</v>
      </c>
      <c r="D68" s="39" t="s">
        <v>340</v>
      </c>
      <c r="E68" s="21"/>
      <c r="F68" s="21"/>
      <c r="G68" s="31">
        <f aca="true" t="shared" si="24" ref="G68:O68">+G69+G70+G71</f>
        <v>50547.9</v>
      </c>
      <c r="H68" s="31">
        <f t="shared" si="24"/>
        <v>0</v>
      </c>
      <c r="I68" s="31">
        <f t="shared" si="24"/>
        <v>50547.9</v>
      </c>
      <c r="J68" s="31">
        <f t="shared" si="24"/>
        <v>0</v>
      </c>
      <c r="K68" s="31">
        <f t="shared" si="24"/>
        <v>50547.9</v>
      </c>
      <c r="L68" s="31">
        <f t="shared" si="24"/>
        <v>0</v>
      </c>
      <c r="M68" s="31">
        <f t="shared" si="24"/>
        <v>50547.9</v>
      </c>
      <c r="N68" s="31">
        <f t="shared" si="24"/>
        <v>0</v>
      </c>
      <c r="O68" s="31">
        <f t="shared" si="24"/>
        <v>50547.9</v>
      </c>
    </row>
    <row r="69" spans="2:15" s="36" customFormat="1" ht="31.5" customHeight="1" hidden="1">
      <c r="B69" s="3" t="s">
        <v>541</v>
      </c>
      <c r="C69" s="3" t="s">
        <v>339</v>
      </c>
      <c r="D69" s="29" t="s">
        <v>432</v>
      </c>
      <c r="E69" s="1" t="s">
        <v>422</v>
      </c>
      <c r="F69" s="1">
        <v>365</v>
      </c>
      <c r="G69" s="32"/>
      <c r="H69" s="32"/>
      <c r="I69" s="32"/>
      <c r="J69" s="32"/>
      <c r="K69" s="32"/>
      <c r="L69" s="32"/>
      <c r="M69" s="32"/>
      <c r="N69" s="32"/>
      <c r="O69" s="32"/>
    </row>
    <row r="70" spans="2:15" s="36" customFormat="1" ht="30.75" customHeight="1">
      <c r="B70" s="3" t="s">
        <v>526</v>
      </c>
      <c r="C70" s="3" t="s">
        <v>339</v>
      </c>
      <c r="D70" s="29" t="s">
        <v>253</v>
      </c>
      <c r="E70" s="1" t="s">
        <v>216</v>
      </c>
      <c r="F70" s="1">
        <v>366</v>
      </c>
      <c r="G70" s="32">
        <v>49547.9</v>
      </c>
      <c r="H70" s="32"/>
      <c r="I70" s="32">
        <f>G70+H70</f>
        <v>49547.9</v>
      </c>
      <c r="J70" s="32"/>
      <c r="K70" s="32">
        <f>I70+J70</f>
        <v>49547.9</v>
      </c>
      <c r="L70" s="32"/>
      <c r="M70" s="32">
        <f>K70+L70</f>
        <v>49547.9</v>
      </c>
      <c r="N70" s="32"/>
      <c r="O70" s="32">
        <f>M70+N70</f>
        <v>49547.9</v>
      </c>
    </row>
    <row r="71" spans="2:15" s="36" customFormat="1" ht="30.75" customHeight="1">
      <c r="B71" s="3" t="s">
        <v>527</v>
      </c>
      <c r="C71" s="3" t="s">
        <v>339</v>
      </c>
      <c r="D71" s="29" t="s">
        <v>254</v>
      </c>
      <c r="E71" s="1" t="s">
        <v>217</v>
      </c>
      <c r="F71" s="1">
        <v>364</v>
      </c>
      <c r="G71" s="32">
        <v>1000</v>
      </c>
      <c r="H71" s="32"/>
      <c r="I71" s="32">
        <f>G71+H71</f>
        <v>1000</v>
      </c>
      <c r="J71" s="32"/>
      <c r="K71" s="32">
        <f>I71+J71</f>
        <v>1000</v>
      </c>
      <c r="L71" s="32"/>
      <c r="M71" s="32">
        <f>K71+L71</f>
        <v>1000</v>
      </c>
      <c r="N71" s="32"/>
      <c r="O71" s="32">
        <f>M71+N71</f>
        <v>1000</v>
      </c>
    </row>
    <row r="72" spans="2:15" s="36" customFormat="1" ht="21" customHeight="1">
      <c r="B72" s="23" t="s">
        <v>528</v>
      </c>
      <c r="C72" s="23" t="s">
        <v>384</v>
      </c>
      <c r="D72" s="40" t="s">
        <v>383</v>
      </c>
      <c r="E72" s="22"/>
      <c r="F72" s="22"/>
      <c r="G72" s="31">
        <f>G73+G74+G81+G79</f>
        <v>39575</v>
      </c>
      <c r="H72" s="31">
        <f>H73+H74+H81+H79+H76+H80</f>
        <v>1991.8083500000002</v>
      </c>
      <c r="I72" s="31">
        <f>I73+I74+I81+I79+I76+I80</f>
        <v>41566.80835</v>
      </c>
      <c r="J72" s="31">
        <f>J73+J81+J79+J76+J80+J74+J75</f>
        <v>389.8000000000002</v>
      </c>
      <c r="K72" s="31">
        <f>K73+K81+K79+K76+K80+K74+K75</f>
        <v>41956.60835</v>
      </c>
      <c r="L72" s="31">
        <f>L73+L81+L79+L76+L80+L74+L75</f>
        <v>0</v>
      </c>
      <c r="M72" s="31">
        <f>M73+M81+M79+M76+M80+M74+M75</f>
        <v>41956.60835</v>
      </c>
      <c r="N72" s="31">
        <f>N73+N81+N79+N76+N80+N74+N75+N77+N78</f>
        <v>96033.42</v>
      </c>
      <c r="O72" s="31">
        <f>O73+O81+O79+O76+O80+O74+O75+O77+O78</f>
        <v>137990.02835</v>
      </c>
    </row>
    <row r="73" spans="2:15" s="36" customFormat="1" ht="33" customHeight="1">
      <c r="B73" s="3" t="s">
        <v>529</v>
      </c>
      <c r="C73" s="3" t="s">
        <v>384</v>
      </c>
      <c r="D73" s="35" t="s">
        <v>255</v>
      </c>
      <c r="E73" s="1" t="s">
        <v>386</v>
      </c>
      <c r="F73" s="3" t="s">
        <v>412</v>
      </c>
      <c r="G73" s="32">
        <f>14114.2-339.5</f>
        <v>13774.7</v>
      </c>
      <c r="H73" s="32"/>
      <c r="I73" s="32">
        <f>G73+H73</f>
        <v>13774.7</v>
      </c>
      <c r="J73" s="32">
        <v>193.8</v>
      </c>
      <c r="K73" s="32">
        <f>I73+J73</f>
        <v>13968.5</v>
      </c>
      <c r="L73" s="32"/>
      <c r="M73" s="32">
        <f aca="true" t="shared" si="25" ref="M73:M81">K73+L73</f>
        <v>13968.5</v>
      </c>
      <c r="N73" s="32"/>
      <c r="O73" s="32">
        <f aca="true" t="shared" si="26" ref="O73:O81">M73+N73</f>
        <v>13968.5</v>
      </c>
    </row>
    <row r="74" spans="2:15" s="36" customFormat="1" ht="32.25" customHeight="1">
      <c r="B74" s="3" t="s">
        <v>530</v>
      </c>
      <c r="C74" s="3" t="s">
        <v>384</v>
      </c>
      <c r="D74" s="35" t="s">
        <v>645</v>
      </c>
      <c r="E74" s="1" t="s">
        <v>386</v>
      </c>
      <c r="F74" s="3" t="s">
        <v>412</v>
      </c>
      <c r="G74" s="32">
        <v>14758.4</v>
      </c>
      <c r="H74" s="32">
        <v>19.03951</v>
      </c>
      <c r="I74" s="32">
        <f>G74+H74</f>
        <v>14777.43951</v>
      </c>
      <c r="J74" s="32">
        <v>196</v>
      </c>
      <c r="K74" s="32">
        <f>I74+J74</f>
        <v>14973.43951</v>
      </c>
      <c r="L74" s="32"/>
      <c r="M74" s="32">
        <f t="shared" si="25"/>
        <v>14973.43951</v>
      </c>
      <c r="N74" s="32"/>
      <c r="O74" s="32">
        <f t="shared" si="26"/>
        <v>14973.43951</v>
      </c>
    </row>
    <row r="75" spans="2:15" s="36" customFormat="1" ht="35.25" customHeight="1">
      <c r="B75" s="3" t="s">
        <v>531</v>
      </c>
      <c r="C75" s="3" t="s">
        <v>384</v>
      </c>
      <c r="D75" s="35" t="s">
        <v>196</v>
      </c>
      <c r="E75" s="1" t="s">
        <v>392</v>
      </c>
      <c r="F75" s="3" t="s">
        <v>325</v>
      </c>
      <c r="G75" s="32"/>
      <c r="H75" s="32"/>
      <c r="I75" s="32"/>
      <c r="J75" s="32">
        <v>4773.505</v>
      </c>
      <c r="K75" s="32">
        <f>I75+J75</f>
        <v>4773.505</v>
      </c>
      <c r="L75" s="32"/>
      <c r="M75" s="32">
        <f t="shared" si="25"/>
        <v>4773.505</v>
      </c>
      <c r="N75" s="32"/>
      <c r="O75" s="32">
        <f t="shared" si="26"/>
        <v>4773.505</v>
      </c>
    </row>
    <row r="76" spans="2:15" s="36" customFormat="1" ht="31.5" hidden="1">
      <c r="B76" s="3" t="s">
        <v>532</v>
      </c>
      <c r="C76" s="3" t="s">
        <v>384</v>
      </c>
      <c r="D76" s="35" t="s">
        <v>69</v>
      </c>
      <c r="E76" s="1" t="s">
        <v>392</v>
      </c>
      <c r="F76" s="3" t="s">
        <v>71</v>
      </c>
      <c r="G76" s="32">
        <v>0</v>
      </c>
      <c r="H76" s="32">
        <v>4773.505</v>
      </c>
      <c r="I76" s="32">
        <f>G76+H76</f>
        <v>4773.505</v>
      </c>
      <c r="J76" s="32">
        <v>-4773.505</v>
      </c>
      <c r="K76" s="32">
        <f>I76+J76</f>
        <v>0</v>
      </c>
      <c r="L76" s="32"/>
      <c r="M76" s="32">
        <f t="shared" si="25"/>
        <v>0</v>
      </c>
      <c r="N76" s="32"/>
      <c r="O76" s="32">
        <f t="shared" si="26"/>
        <v>0</v>
      </c>
    </row>
    <row r="77" spans="2:15" s="36" customFormat="1" ht="28.5" customHeight="1">
      <c r="B77" s="66" t="s">
        <v>532</v>
      </c>
      <c r="C77" s="78" t="s">
        <v>384</v>
      </c>
      <c r="D77" s="79" t="s">
        <v>672</v>
      </c>
      <c r="E77" s="71" t="s">
        <v>26</v>
      </c>
      <c r="F77" s="78" t="s">
        <v>71</v>
      </c>
      <c r="G77" s="80">
        <v>0</v>
      </c>
      <c r="H77" s="80">
        <v>4773.505</v>
      </c>
      <c r="I77" s="80">
        <f>G77+H77</f>
        <v>4773.505</v>
      </c>
      <c r="J77" s="80">
        <v>-4773.505</v>
      </c>
      <c r="K77" s="80">
        <f>I77+J77</f>
        <v>0</v>
      </c>
      <c r="L77" s="80"/>
      <c r="M77" s="80">
        <f t="shared" si="25"/>
        <v>0</v>
      </c>
      <c r="N77" s="80">
        <f>3655.2-185.85</f>
        <v>3469.35</v>
      </c>
      <c r="O77" s="80">
        <f t="shared" si="26"/>
        <v>3469.35</v>
      </c>
    </row>
    <row r="78" spans="2:15" s="36" customFormat="1" ht="33" customHeight="1">
      <c r="B78" s="66" t="s">
        <v>533</v>
      </c>
      <c r="C78" s="78" t="s">
        <v>384</v>
      </c>
      <c r="D78" s="79" t="s">
        <v>673</v>
      </c>
      <c r="E78" s="71" t="s">
        <v>26</v>
      </c>
      <c r="F78" s="78" t="s">
        <v>71</v>
      </c>
      <c r="G78" s="80"/>
      <c r="H78" s="80"/>
      <c r="I78" s="80"/>
      <c r="J78" s="80"/>
      <c r="K78" s="80"/>
      <c r="L78" s="80"/>
      <c r="M78" s="80">
        <f t="shared" si="25"/>
        <v>0</v>
      </c>
      <c r="N78" s="80">
        <f>92000+564.07</f>
        <v>92564.07</v>
      </c>
      <c r="O78" s="80">
        <f t="shared" si="26"/>
        <v>92564.07</v>
      </c>
    </row>
    <row r="79" spans="2:15" s="36" customFormat="1" ht="25.5" customHeight="1">
      <c r="B79" s="3" t="s">
        <v>534</v>
      </c>
      <c r="C79" s="3" t="s">
        <v>384</v>
      </c>
      <c r="D79" s="35" t="s">
        <v>255</v>
      </c>
      <c r="E79" s="1" t="s">
        <v>392</v>
      </c>
      <c r="F79" s="3" t="s">
        <v>385</v>
      </c>
      <c r="G79" s="32">
        <f>3550+3179.1+1312.8</f>
        <v>8041.900000000001</v>
      </c>
      <c r="H79" s="32">
        <f>-4305.33616-480-115.4</f>
        <v>-4900.7361599999995</v>
      </c>
      <c r="I79" s="32">
        <f>G79+H79</f>
        <v>3141.163840000001</v>
      </c>
      <c r="J79" s="32"/>
      <c r="K79" s="32">
        <f>I79+J79</f>
        <v>3141.163840000001</v>
      </c>
      <c r="L79" s="32"/>
      <c r="M79" s="32">
        <f t="shared" si="25"/>
        <v>3141.163840000001</v>
      </c>
      <c r="N79" s="32"/>
      <c r="O79" s="32">
        <f t="shared" si="26"/>
        <v>3141.163840000001</v>
      </c>
    </row>
    <row r="80" spans="2:15" s="36" customFormat="1" ht="36" customHeight="1">
      <c r="B80" s="3" t="s">
        <v>535</v>
      </c>
      <c r="C80" s="3" t="s">
        <v>384</v>
      </c>
      <c r="D80" s="35" t="s">
        <v>83</v>
      </c>
      <c r="E80" s="1" t="s">
        <v>392</v>
      </c>
      <c r="F80" s="3" t="s">
        <v>385</v>
      </c>
      <c r="G80" s="32">
        <v>0</v>
      </c>
      <c r="H80" s="32">
        <v>2100</v>
      </c>
      <c r="I80" s="32">
        <f>G80+H80</f>
        <v>2100</v>
      </c>
      <c r="J80" s="32"/>
      <c r="K80" s="32">
        <f>I80+J80</f>
        <v>2100</v>
      </c>
      <c r="L80" s="32"/>
      <c r="M80" s="32">
        <f t="shared" si="25"/>
        <v>2100</v>
      </c>
      <c r="N80" s="32"/>
      <c r="O80" s="32">
        <f t="shared" si="26"/>
        <v>2100</v>
      </c>
    </row>
    <row r="81" spans="2:15" s="36" customFormat="1" ht="31.5">
      <c r="B81" s="3" t="s">
        <v>536</v>
      </c>
      <c r="C81" s="3" t="s">
        <v>384</v>
      </c>
      <c r="D81" s="29" t="s">
        <v>649</v>
      </c>
      <c r="E81" s="1" t="s">
        <v>183</v>
      </c>
      <c r="F81" s="3" t="s">
        <v>648</v>
      </c>
      <c r="G81" s="32">
        <v>3000</v>
      </c>
      <c r="H81" s="32"/>
      <c r="I81" s="32">
        <f>G81+H81</f>
        <v>3000</v>
      </c>
      <c r="J81" s="32"/>
      <c r="K81" s="32">
        <f>I81+J81</f>
        <v>3000</v>
      </c>
      <c r="L81" s="32"/>
      <c r="M81" s="32">
        <f t="shared" si="25"/>
        <v>3000</v>
      </c>
      <c r="N81" s="32"/>
      <c r="O81" s="32">
        <f t="shared" si="26"/>
        <v>3000</v>
      </c>
    </row>
    <row r="82" spans="2:15" s="36" customFormat="1" ht="21" customHeight="1">
      <c r="B82" s="6" t="s">
        <v>290</v>
      </c>
      <c r="C82" s="6" t="s">
        <v>341</v>
      </c>
      <c r="D82" s="38" t="s">
        <v>316</v>
      </c>
      <c r="E82" s="7"/>
      <c r="F82" s="7"/>
      <c r="G82" s="30">
        <f aca="true" t="shared" si="27" ref="G82:O82">G83+G93</f>
        <v>723537.82143</v>
      </c>
      <c r="H82" s="30">
        <f t="shared" si="27"/>
        <v>74383.37761</v>
      </c>
      <c r="I82" s="30">
        <f t="shared" si="27"/>
        <v>797921.1990400001</v>
      </c>
      <c r="J82" s="30">
        <f t="shared" si="27"/>
        <v>-1729.5</v>
      </c>
      <c r="K82" s="30">
        <f t="shared" si="27"/>
        <v>796191.69904</v>
      </c>
      <c r="L82" s="30">
        <f t="shared" si="27"/>
        <v>2900.0000000000036</v>
      </c>
      <c r="M82" s="30">
        <f t="shared" si="27"/>
        <v>799091.69904</v>
      </c>
      <c r="N82" s="30">
        <f t="shared" si="27"/>
        <v>-89140</v>
      </c>
      <c r="O82" s="30">
        <f t="shared" si="27"/>
        <v>709951.69904</v>
      </c>
    </row>
    <row r="83" spans="2:15" s="56" customFormat="1" ht="21.75" customHeight="1">
      <c r="B83" s="23" t="s">
        <v>537</v>
      </c>
      <c r="C83" s="23" t="s">
        <v>342</v>
      </c>
      <c r="D83" s="39" t="s">
        <v>315</v>
      </c>
      <c r="E83" s="21"/>
      <c r="F83" s="21"/>
      <c r="G83" s="34">
        <f>G88+G87+G89+G86+G90+G91+G84+G85</f>
        <v>129455.5</v>
      </c>
      <c r="H83" s="34">
        <f>H88+H87+H89+H86+H90+H91+H84+H85</f>
        <v>21203.16854</v>
      </c>
      <c r="I83" s="34">
        <f>I88+I87+I89+I86+I90+I91+I84+I85</f>
        <v>150658.66853999998</v>
      </c>
      <c r="J83" s="34">
        <f>J88+J87+J89+J86+J90+J91+J84+J85</f>
        <v>-1729.5</v>
      </c>
      <c r="K83" s="34">
        <f>K88+K87+K89+K86+K90+K91+K84+K85</f>
        <v>148929.16853999998</v>
      </c>
      <c r="L83" s="34">
        <f>L88+L87+L89+L86+L90+L91+L84+L85+L92</f>
        <v>25991</v>
      </c>
      <c r="M83" s="34">
        <f>M88+M87+M89+M86+M90+M91+M84+M85+M92</f>
        <v>174920.16853999998</v>
      </c>
      <c r="N83" s="34">
        <f>N88+N87+N89+N86+N90+N91+N84+N85+N92</f>
        <v>-4561</v>
      </c>
      <c r="O83" s="34">
        <f>O88+O87+O89+O86+O90+O91+O84+O85+O92</f>
        <v>170359.16853999998</v>
      </c>
    </row>
    <row r="84" spans="2:15" s="56" customFormat="1" ht="50.25" customHeight="1">
      <c r="B84" s="3" t="s">
        <v>538</v>
      </c>
      <c r="C84" s="3" t="s">
        <v>342</v>
      </c>
      <c r="D84" s="35" t="s">
        <v>287</v>
      </c>
      <c r="E84" s="1" t="s">
        <v>282</v>
      </c>
      <c r="F84" s="1">
        <v>214</v>
      </c>
      <c r="G84" s="32">
        <v>16726</v>
      </c>
      <c r="H84" s="32">
        <v>16223.79075</v>
      </c>
      <c r="I84" s="32">
        <f aca="true" t="shared" si="28" ref="I84:I91">G84+H84</f>
        <v>32949.79075</v>
      </c>
      <c r="J84" s="32"/>
      <c r="K84" s="32">
        <f aca="true" t="shared" si="29" ref="K84:K91">I84+J84</f>
        <v>32949.79075</v>
      </c>
      <c r="L84" s="32"/>
      <c r="M84" s="32">
        <f aca="true" t="shared" si="30" ref="M84:M92">K84+L84</f>
        <v>32949.79075</v>
      </c>
      <c r="N84" s="32"/>
      <c r="O84" s="32">
        <f aca="true" t="shared" si="31" ref="O84:O92">M84+N84</f>
        <v>32949.79075</v>
      </c>
    </row>
    <row r="85" spans="2:15" s="56" customFormat="1" ht="49.5" customHeight="1">
      <c r="B85" s="3" t="s">
        <v>539</v>
      </c>
      <c r="C85" s="3" t="s">
        <v>342</v>
      </c>
      <c r="D85" s="35" t="s">
        <v>224</v>
      </c>
      <c r="E85" s="1" t="s">
        <v>225</v>
      </c>
      <c r="F85" s="1">
        <v>214</v>
      </c>
      <c r="G85" s="32">
        <v>108700</v>
      </c>
      <c r="H85" s="32">
        <v>4938</v>
      </c>
      <c r="I85" s="32">
        <f t="shared" si="28"/>
        <v>113638</v>
      </c>
      <c r="J85" s="32"/>
      <c r="K85" s="32">
        <f t="shared" si="29"/>
        <v>113638</v>
      </c>
      <c r="L85" s="32">
        <v>7991</v>
      </c>
      <c r="M85" s="32">
        <f t="shared" si="30"/>
        <v>121629</v>
      </c>
      <c r="N85" s="32"/>
      <c r="O85" s="32">
        <f t="shared" si="31"/>
        <v>121629</v>
      </c>
    </row>
    <row r="86" spans="2:15" s="5" customFormat="1" ht="32.25" customHeight="1">
      <c r="B86" s="3" t="s">
        <v>540</v>
      </c>
      <c r="C86" s="3" t="s">
        <v>342</v>
      </c>
      <c r="D86" s="29" t="s">
        <v>185</v>
      </c>
      <c r="E86" s="1" t="s">
        <v>70</v>
      </c>
      <c r="F86" s="1">
        <v>214</v>
      </c>
      <c r="G86" s="32">
        <v>0</v>
      </c>
      <c r="H86" s="32">
        <f>0.55035+0.00021-0.00077</f>
        <v>0.54979</v>
      </c>
      <c r="I86" s="32">
        <f t="shared" si="28"/>
        <v>0.54979</v>
      </c>
      <c r="J86" s="32"/>
      <c r="K86" s="32">
        <f t="shared" si="29"/>
        <v>0.54979</v>
      </c>
      <c r="L86" s="32"/>
      <c r="M86" s="32">
        <f t="shared" si="30"/>
        <v>0.54979</v>
      </c>
      <c r="N86" s="32"/>
      <c r="O86" s="32">
        <f t="shared" si="31"/>
        <v>0.54979</v>
      </c>
    </row>
    <row r="87" spans="2:15" s="5" customFormat="1" ht="15.75">
      <c r="B87" s="3" t="s">
        <v>211</v>
      </c>
      <c r="C87" s="3" t="s">
        <v>342</v>
      </c>
      <c r="D87" s="29" t="s">
        <v>256</v>
      </c>
      <c r="E87" s="1" t="s">
        <v>393</v>
      </c>
      <c r="F87" s="1">
        <v>410</v>
      </c>
      <c r="G87" s="32">
        <v>2300</v>
      </c>
      <c r="H87" s="32"/>
      <c r="I87" s="32">
        <f t="shared" si="28"/>
        <v>2300</v>
      </c>
      <c r="J87" s="32"/>
      <c r="K87" s="32">
        <f t="shared" si="29"/>
        <v>2300</v>
      </c>
      <c r="L87" s="32"/>
      <c r="M87" s="32">
        <f t="shared" si="30"/>
        <v>2300</v>
      </c>
      <c r="N87" s="32"/>
      <c r="O87" s="32">
        <f t="shared" si="31"/>
        <v>2300</v>
      </c>
    </row>
    <row r="88" spans="2:15" s="5" customFormat="1" ht="41.25" customHeight="1">
      <c r="B88" s="3" t="s">
        <v>541</v>
      </c>
      <c r="C88" s="3" t="s">
        <v>342</v>
      </c>
      <c r="D88" s="35" t="s">
        <v>49</v>
      </c>
      <c r="E88" s="1" t="s">
        <v>393</v>
      </c>
      <c r="F88" s="1">
        <v>410</v>
      </c>
      <c r="G88" s="32">
        <v>0</v>
      </c>
      <c r="H88" s="32">
        <v>40.828</v>
      </c>
      <c r="I88" s="32">
        <f t="shared" si="28"/>
        <v>40.828</v>
      </c>
      <c r="J88" s="32"/>
      <c r="K88" s="32">
        <f t="shared" si="29"/>
        <v>40.828</v>
      </c>
      <c r="L88" s="32"/>
      <c r="M88" s="32">
        <f t="shared" si="30"/>
        <v>40.828</v>
      </c>
      <c r="N88" s="32"/>
      <c r="O88" s="32">
        <f t="shared" si="31"/>
        <v>40.828</v>
      </c>
    </row>
    <row r="89" spans="2:15" s="5" customFormat="1" ht="31.5" hidden="1">
      <c r="B89" s="3" t="s">
        <v>552</v>
      </c>
      <c r="C89" s="3" t="s">
        <v>342</v>
      </c>
      <c r="D89" s="29" t="s">
        <v>636</v>
      </c>
      <c r="E89" s="1" t="s">
        <v>632</v>
      </c>
      <c r="F89" s="1">
        <v>214</v>
      </c>
      <c r="G89" s="32"/>
      <c r="H89" s="32"/>
      <c r="I89" s="32">
        <f t="shared" si="28"/>
        <v>0</v>
      </c>
      <c r="J89" s="32"/>
      <c r="K89" s="32">
        <f t="shared" si="29"/>
        <v>0</v>
      </c>
      <c r="L89" s="32"/>
      <c r="M89" s="32">
        <f t="shared" si="30"/>
        <v>0</v>
      </c>
      <c r="N89" s="32"/>
      <c r="O89" s="32">
        <f t="shared" si="31"/>
        <v>0</v>
      </c>
    </row>
    <row r="90" spans="2:15" s="5" customFormat="1" ht="0.75" customHeight="1" hidden="1">
      <c r="B90" s="3" t="s">
        <v>541</v>
      </c>
      <c r="C90" s="3" t="s">
        <v>342</v>
      </c>
      <c r="D90" s="29" t="s">
        <v>650</v>
      </c>
      <c r="E90" s="1" t="s">
        <v>288</v>
      </c>
      <c r="F90" s="1">
        <v>661</v>
      </c>
      <c r="G90" s="32">
        <v>1000</v>
      </c>
      <c r="H90" s="32"/>
      <c r="I90" s="32">
        <f t="shared" si="28"/>
        <v>1000</v>
      </c>
      <c r="J90" s="32">
        <v>-1000</v>
      </c>
      <c r="K90" s="32">
        <f t="shared" si="29"/>
        <v>0</v>
      </c>
      <c r="L90" s="32"/>
      <c r="M90" s="32">
        <f t="shared" si="30"/>
        <v>0</v>
      </c>
      <c r="N90" s="32"/>
      <c r="O90" s="32">
        <f t="shared" si="31"/>
        <v>0</v>
      </c>
    </row>
    <row r="91" spans="2:15" s="5" customFormat="1" ht="78" customHeight="1" hidden="1">
      <c r="B91" s="3" t="s">
        <v>542</v>
      </c>
      <c r="C91" s="3" t="s">
        <v>342</v>
      </c>
      <c r="D91" s="42" t="s">
        <v>668</v>
      </c>
      <c r="E91" s="1" t="s">
        <v>289</v>
      </c>
      <c r="F91" s="1">
        <v>410</v>
      </c>
      <c r="G91" s="32">
        <v>729.5</v>
      </c>
      <c r="H91" s="32"/>
      <c r="I91" s="32">
        <f t="shared" si="28"/>
        <v>729.5</v>
      </c>
      <c r="J91" s="32">
        <v>-729.5</v>
      </c>
      <c r="K91" s="32">
        <f t="shared" si="29"/>
        <v>0</v>
      </c>
      <c r="L91" s="32"/>
      <c r="M91" s="32">
        <f t="shared" si="30"/>
        <v>0</v>
      </c>
      <c r="N91" s="32"/>
      <c r="O91" s="32">
        <f t="shared" si="31"/>
        <v>0</v>
      </c>
    </row>
    <row r="92" spans="2:15" s="5" customFormat="1" ht="49.5" customHeight="1">
      <c r="B92" s="66" t="s">
        <v>542</v>
      </c>
      <c r="C92" s="66" t="s">
        <v>342</v>
      </c>
      <c r="D92" s="74" t="s">
        <v>160</v>
      </c>
      <c r="E92" s="67" t="s">
        <v>108</v>
      </c>
      <c r="F92" s="66" t="s">
        <v>198</v>
      </c>
      <c r="G92" s="68">
        <f>218000-39800</f>
        <v>178200</v>
      </c>
      <c r="H92" s="68"/>
      <c r="I92" s="68">
        <v>0</v>
      </c>
      <c r="J92" s="68">
        <v>18000</v>
      </c>
      <c r="K92" s="68">
        <v>0</v>
      </c>
      <c r="L92" s="68">
        <v>18000</v>
      </c>
      <c r="M92" s="68">
        <f t="shared" si="30"/>
        <v>18000</v>
      </c>
      <c r="N92" s="68">
        <v>-4561</v>
      </c>
      <c r="O92" s="68">
        <f t="shared" si="31"/>
        <v>13439</v>
      </c>
    </row>
    <row r="93" spans="2:15" s="55" customFormat="1" ht="21.75" customHeight="1">
      <c r="B93" s="23" t="s">
        <v>543</v>
      </c>
      <c r="C93" s="23" t="s">
        <v>343</v>
      </c>
      <c r="D93" s="39" t="s">
        <v>309</v>
      </c>
      <c r="E93" s="21"/>
      <c r="F93" s="21"/>
      <c r="G93" s="31">
        <f>G94+G95+G99+G107+G117+G118+G96+G119+G120+G121+G124+G110+G113</f>
        <v>594082.32143</v>
      </c>
      <c r="H93" s="31">
        <f>H94+H95+H99+H107+H117+H118+H96+H119+H120+H121+H124+H110+H113+H98</f>
        <v>53180.20907</v>
      </c>
      <c r="I93" s="31">
        <f>I94+I95+I99+I107+I117+I118+I96+I119+I120+I121+I124+I110+I113+I98</f>
        <v>647262.5305000001</v>
      </c>
      <c r="J93" s="31">
        <f>J94+J95+J99+J107+J117+J118+J96+J119+J120+J121+J124+J110+J113+J98+J102+J103+J104+J105+J106+J122+J123</f>
        <v>0</v>
      </c>
      <c r="K93" s="31">
        <f>K94+K95+K99+K107+K117+K118+K96+K119+K120+K121+K124+K110+K113+K98+K102+K103+K104+K105+K106+K122+K123</f>
        <v>647262.5305</v>
      </c>
      <c r="L93" s="31">
        <f>L94+L95+L99+L107+L117+L118+L96+L119+L120+L121+L124+L110+L113+L98+L102+L103+L104+L105+L106+L122+L123+L114+L115+L116+L108+L109+L112+L111+L97</f>
        <v>-23090.999999999996</v>
      </c>
      <c r="M93" s="31">
        <f>M94+M95+M99+M107+M117+M118+M96+M119+M120+M121+M124+M110+M113+M98+M102+M103+M104+M105+M106+M122+M123+M114+M115+M116+M108+M109+M112+M111+M97</f>
        <v>624171.5305</v>
      </c>
      <c r="N93" s="31">
        <f>N94+N95+N99+N107+N117+N118+N96+N119+N120+N121+N124+N110+N113+N98+N102+N103+N104+N105+N106+N122+N123+N114+N115+N116+N108+N109+N112+N111+N97+N100+N101</f>
        <v>-84579</v>
      </c>
      <c r="O93" s="31">
        <f>O94+O95+O99+O107+O117+O118+O96+O119+O120+O121+O124+O110+O113+O98+O102+O103+O104+O105+O106+O122+O123+O114+O115+O116+O108+O109+O112+O111+O97+O100+O101</f>
        <v>539592.5305</v>
      </c>
    </row>
    <row r="94" spans="2:15" s="5" customFormat="1" ht="46.5" customHeight="1">
      <c r="B94" s="3" t="s">
        <v>544</v>
      </c>
      <c r="C94" s="3" t="s">
        <v>343</v>
      </c>
      <c r="D94" s="35" t="s">
        <v>287</v>
      </c>
      <c r="E94" s="1" t="s">
        <v>283</v>
      </c>
      <c r="F94" s="1">
        <v>411</v>
      </c>
      <c r="G94" s="32">
        <v>71170.32143</v>
      </c>
      <c r="H94" s="32">
        <v>39355.10607</v>
      </c>
      <c r="I94" s="32">
        <f>G94+H94</f>
        <v>110525.42749999999</v>
      </c>
      <c r="J94" s="32"/>
      <c r="K94" s="32">
        <f>I94+J94</f>
        <v>110525.42749999999</v>
      </c>
      <c r="L94" s="32"/>
      <c r="M94" s="32">
        <f aca="true" t="shared" si="32" ref="M94:M124">K94+L94</f>
        <v>110525.42749999999</v>
      </c>
      <c r="N94" s="32"/>
      <c r="O94" s="32">
        <f aca="true" t="shared" si="33" ref="O94:O124">M94+N94</f>
        <v>110525.42749999999</v>
      </c>
    </row>
    <row r="95" spans="2:15" s="5" customFormat="1" ht="51" customHeight="1">
      <c r="B95" s="3" t="s">
        <v>291</v>
      </c>
      <c r="C95" s="3" t="s">
        <v>343</v>
      </c>
      <c r="D95" s="35" t="s">
        <v>666</v>
      </c>
      <c r="E95" s="1" t="s">
        <v>280</v>
      </c>
      <c r="F95" s="1">
        <v>411</v>
      </c>
      <c r="G95" s="32">
        <f>408790-108700-11000-4400-42350-38400-10500-17750-1250-8000-22100-1000</f>
        <v>143340</v>
      </c>
      <c r="H95" s="32">
        <v>8119.2</v>
      </c>
      <c r="I95" s="32">
        <f>G95+H95</f>
        <v>151459.2</v>
      </c>
      <c r="J95" s="32"/>
      <c r="K95" s="32">
        <f>I95+J95</f>
        <v>151459.2</v>
      </c>
      <c r="L95" s="32">
        <v>-62500</v>
      </c>
      <c r="M95" s="32">
        <f t="shared" si="32"/>
        <v>88959.20000000001</v>
      </c>
      <c r="N95" s="32"/>
      <c r="O95" s="32">
        <f t="shared" si="33"/>
        <v>88959.20000000001</v>
      </c>
    </row>
    <row r="96" spans="2:15" s="5" customFormat="1" ht="47.25">
      <c r="B96" s="3" t="s">
        <v>545</v>
      </c>
      <c r="C96" s="3" t="s">
        <v>343</v>
      </c>
      <c r="D96" s="35" t="s">
        <v>287</v>
      </c>
      <c r="E96" s="1" t="s">
        <v>105</v>
      </c>
      <c r="F96" s="1">
        <v>412</v>
      </c>
      <c r="G96" s="32">
        <v>10130</v>
      </c>
      <c r="H96" s="32">
        <v>4671.80187</v>
      </c>
      <c r="I96" s="32">
        <f>G96+H96</f>
        <v>14801.80187</v>
      </c>
      <c r="J96" s="32"/>
      <c r="K96" s="32">
        <f>I96+J96</f>
        <v>14801.80187</v>
      </c>
      <c r="L96" s="72">
        <v>-2425.63819</v>
      </c>
      <c r="M96" s="32">
        <f t="shared" si="32"/>
        <v>12376.16368</v>
      </c>
      <c r="N96" s="72"/>
      <c r="O96" s="32">
        <f t="shared" si="33"/>
        <v>12376.16368</v>
      </c>
    </row>
    <row r="97" spans="2:15" s="5" customFormat="1" ht="47.25">
      <c r="B97" s="3" t="s">
        <v>292</v>
      </c>
      <c r="C97" s="3" t="s">
        <v>343</v>
      </c>
      <c r="D97" s="35" t="s">
        <v>287</v>
      </c>
      <c r="E97" s="1" t="s">
        <v>105</v>
      </c>
      <c r="F97" s="1">
        <v>809</v>
      </c>
      <c r="G97" s="32"/>
      <c r="H97" s="32"/>
      <c r="I97" s="32"/>
      <c r="J97" s="32"/>
      <c r="K97" s="32">
        <v>0</v>
      </c>
      <c r="L97" s="72">
        <v>2425.63819</v>
      </c>
      <c r="M97" s="32">
        <f t="shared" si="32"/>
        <v>2425.63819</v>
      </c>
      <c r="N97" s="72"/>
      <c r="O97" s="32">
        <f t="shared" si="33"/>
        <v>2425.63819</v>
      </c>
    </row>
    <row r="98" spans="2:15" s="5" customFormat="1" ht="37.5" customHeight="1">
      <c r="B98" s="3" t="s">
        <v>293</v>
      </c>
      <c r="C98" s="3" t="s">
        <v>343</v>
      </c>
      <c r="D98" s="29" t="s">
        <v>186</v>
      </c>
      <c r="E98" s="1" t="s">
        <v>82</v>
      </c>
      <c r="F98" s="1">
        <v>411</v>
      </c>
      <c r="G98" s="32">
        <v>0</v>
      </c>
      <c r="H98" s="32">
        <v>0.00077</v>
      </c>
      <c r="I98" s="32">
        <f>G98+H98</f>
        <v>0.00077</v>
      </c>
      <c r="J98" s="32"/>
      <c r="K98" s="32">
        <f>I98+J98</f>
        <v>0.00077</v>
      </c>
      <c r="L98" s="32"/>
      <c r="M98" s="32">
        <f t="shared" si="32"/>
        <v>0.00077</v>
      </c>
      <c r="N98" s="32"/>
      <c r="O98" s="32">
        <f t="shared" si="33"/>
        <v>0.00077</v>
      </c>
    </row>
    <row r="99" spans="2:15" s="5" customFormat="1" ht="15.75" customHeight="1" hidden="1">
      <c r="B99" s="3" t="s">
        <v>293</v>
      </c>
      <c r="C99" s="3" t="s">
        <v>343</v>
      </c>
      <c r="D99" s="35" t="s">
        <v>257</v>
      </c>
      <c r="E99" s="1" t="s">
        <v>218</v>
      </c>
      <c r="F99" s="1">
        <v>412</v>
      </c>
      <c r="G99" s="32">
        <f>96410-1000+38900-400</f>
        <v>133910</v>
      </c>
      <c r="H99" s="32">
        <f>2709.39874-2100</f>
        <v>609.3987400000001</v>
      </c>
      <c r="I99" s="32">
        <f>G99+H99</f>
        <v>134519.39874</v>
      </c>
      <c r="J99" s="32">
        <f>-20029.39874-20250-71940-16700-5600</f>
        <v>-134519.39874</v>
      </c>
      <c r="K99" s="32">
        <f>I99+J99</f>
        <v>0</v>
      </c>
      <c r="L99" s="32"/>
      <c r="M99" s="32">
        <f t="shared" si="32"/>
        <v>0</v>
      </c>
      <c r="N99" s="32"/>
      <c r="O99" s="32">
        <f t="shared" si="33"/>
        <v>0</v>
      </c>
    </row>
    <row r="100" spans="2:15" s="5" customFormat="1" ht="43.5" customHeight="1">
      <c r="B100" s="66" t="s">
        <v>546</v>
      </c>
      <c r="C100" s="66" t="s">
        <v>343</v>
      </c>
      <c r="D100" s="74" t="s">
        <v>57</v>
      </c>
      <c r="E100" s="67" t="s">
        <v>54</v>
      </c>
      <c r="F100" s="67">
        <v>411</v>
      </c>
      <c r="G100" s="68"/>
      <c r="H100" s="68"/>
      <c r="I100" s="68"/>
      <c r="J100" s="68"/>
      <c r="K100" s="68"/>
      <c r="L100" s="68"/>
      <c r="M100" s="68">
        <f t="shared" si="32"/>
        <v>0</v>
      </c>
      <c r="N100" s="68">
        <v>4840</v>
      </c>
      <c r="O100" s="68">
        <f t="shared" si="33"/>
        <v>4840</v>
      </c>
    </row>
    <row r="101" spans="2:15" s="5" customFormat="1" ht="48" customHeight="1">
      <c r="B101" s="66" t="s">
        <v>547</v>
      </c>
      <c r="C101" s="66" t="s">
        <v>343</v>
      </c>
      <c r="D101" s="74" t="s">
        <v>56</v>
      </c>
      <c r="E101" s="67" t="s">
        <v>55</v>
      </c>
      <c r="F101" s="67">
        <v>411</v>
      </c>
      <c r="G101" s="68"/>
      <c r="H101" s="68"/>
      <c r="I101" s="68"/>
      <c r="J101" s="68"/>
      <c r="K101" s="68"/>
      <c r="L101" s="68"/>
      <c r="M101" s="68">
        <f t="shared" si="32"/>
        <v>0</v>
      </c>
      <c r="N101" s="68">
        <v>50</v>
      </c>
      <c r="O101" s="68">
        <f t="shared" si="33"/>
        <v>50</v>
      </c>
    </row>
    <row r="102" spans="2:15" s="5" customFormat="1" ht="30.75" customHeight="1">
      <c r="B102" s="3" t="s">
        <v>640</v>
      </c>
      <c r="C102" s="3" t="s">
        <v>343</v>
      </c>
      <c r="D102" s="35" t="s">
        <v>257</v>
      </c>
      <c r="E102" s="1" t="s">
        <v>87</v>
      </c>
      <c r="F102" s="1">
        <v>412</v>
      </c>
      <c r="G102" s="32"/>
      <c r="H102" s="32"/>
      <c r="I102" s="32"/>
      <c r="J102" s="32">
        <v>20029.39874</v>
      </c>
      <c r="K102" s="32">
        <f aca="true" t="shared" si="34" ref="K102:K107">I102+J102</f>
        <v>20029.39874</v>
      </c>
      <c r="L102" s="32"/>
      <c r="M102" s="32">
        <f t="shared" si="32"/>
        <v>20029.39874</v>
      </c>
      <c r="N102" s="32"/>
      <c r="O102" s="32">
        <f t="shared" si="33"/>
        <v>20029.39874</v>
      </c>
    </row>
    <row r="103" spans="2:15" s="5" customFormat="1" ht="33" customHeight="1">
      <c r="B103" s="82" t="s">
        <v>548</v>
      </c>
      <c r="C103" s="82" t="s">
        <v>343</v>
      </c>
      <c r="D103" s="83" t="s">
        <v>88</v>
      </c>
      <c r="E103" s="84" t="s">
        <v>87</v>
      </c>
      <c r="F103" s="84">
        <v>806</v>
      </c>
      <c r="G103" s="81"/>
      <c r="H103" s="81"/>
      <c r="I103" s="81"/>
      <c r="J103" s="81">
        <v>20250</v>
      </c>
      <c r="K103" s="81">
        <f t="shared" si="34"/>
        <v>20250</v>
      </c>
      <c r="L103" s="81"/>
      <c r="M103" s="81">
        <f t="shared" si="32"/>
        <v>20250</v>
      </c>
      <c r="N103" s="81">
        <v>-50</v>
      </c>
      <c r="O103" s="81">
        <f t="shared" si="33"/>
        <v>20200</v>
      </c>
    </row>
    <row r="104" spans="2:15" s="5" customFormat="1" ht="32.25" customHeight="1">
      <c r="B104" s="3" t="s">
        <v>549</v>
      </c>
      <c r="C104" s="3" t="s">
        <v>343</v>
      </c>
      <c r="D104" s="35" t="s">
        <v>65</v>
      </c>
      <c r="E104" s="1" t="s">
        <v>87</v>
      </c>
      <c r="F104" s="1">
        <v>807</v>
      </c>
      <c r="G104" s="32"/>
      <c r="H104" s="32"/>
      <c r="I104" s="32"/>
      <c r="J104" s="32">
        <v>71940</v>
      </c>
      <c r="K104" s="32">
        <f t="shared" si="34"/>
        <v>71940</v>
      </c>
      <c r="L104" s="32"/>
      <c r="M104" s="32">
        <f t="shared" si="32"/>
        <v>71940</v>
      </c>
      <c r="N104" s="32"/>
      <c r="O104" s="32">
        <f t="shared" si="33"/>
        <v>71940</v>
      </c>
    </row>
    <row r="105" spans="2:15" s="5" customFormat="1" ht="30.75" customHeight="1">
      <c r="B105" s="3" t="s">
        <v>550</v>
      </c>
      <c r="C105" s="3" t="s">
        <v>343</v>
      </c>
      <c r="D105" s="35" t="s">
        <v>89</v>
      </c>
      <c r="E105" s="1" t="s">
        <v>87</v>
      </c>
      <c r="F105" s="1">
        <v>808</v>
      </c>
      <c r="G105" s="32"/>
      <c r="H105" s="32"/>
      <c r="I105" s="32"/>
      <c r="J105" s="32">
        <v>16700</v>
      </c>
      <c r="K105" s="32">
        <f t="shared" si="34"/>
        <v>16700</v>
      </c>
      <c r="L105" s="32"/>
      <c r="M105" s="32">
        <f t="shared" si="32"/>
        <v>16700</v>
      </c>
      <c r="N105" s="32"/>
      <c r="O105" s="32">
        <f t="shared" si="33"/>
        <v>16700</v>
      </c>
    </row>
    <row r="106" spans="2:15" s="5" customFormat="1" ht="32.25" customHeight="1">
      <c r="B106" s="3" t="s">
        <v>551</v>
      </c>
      <c r="C106" s="3" t="s">
        <v>343</v>
      </c>
      <c r="D106" s="35" t="s">
        <v>90</v>
      </c>
      <c r="E106" s="1" t="s">
        <v>87</v>
      </c>
      <c r="F106" s="1">
        <v>809</v>
      </c>
      <c r="G106" s="32"/>
      <c r="H106" s="32"/>
      <c r="I106" s="32"/>
      <c r="J106" s="32">
        <v>5600</v>
      </c>
      <c r="K106" s="32">
        <f t="shared" si="34"/>
        <v>5600</v>
      </c>
      <c r="L106" s="32"/>
      <c r="M106" s="32">
        <f t="shared" si="32"/>
        <v>5600</v>
      </c>
      <c r="N106" s="32"/>
      <c r="O106" s="32">
        <f t="shared" si="33"/>
        <v>5600</v>
      </c>
    </row>
    <row r="107" spans="2:15" s="5" customFormat="1" ht="29.25" customHeight="1">
      <c r="B107" s="3" t="s">
        <v>552</v>
      </c>
      <c r="C107" s="3" t="s">
        <v>343</v>
      </c>
      <c r="D107" s="41" t="s">
        <v>187</v>
      </c>
      <c r="E107" s="1" t="s">
        <v>394</v>
      </c>
      <c r="F107" s="3" t="s">
        <v>464</v>
      </c>
      <c r="G107" s="32">
        <v>0</v>
      </c>
      <c r="H107" s="32" t="s">
        <v>19</v>
      </c>
      <c r="I107" s="32">
        <f>G107+H107</f>
        <v>939.70162</v>
      </c>
      <c r="J107" s="32"/>
      <c r="K107" s="32">
        <f t="shared" si="34"/>
        <v>939.70162</v>
      </c>
      <c r="L107" s="32"/>
      <c r="M107" s="32">
        <f t="shared" si="32"/>
        <v>939.70162</v>
      </c>
      <c r="N107" s="32"/>
      <c r="O107" s="32">
        <f t="shared" si="33"/>
        <v>939.70162</v>
      </c>
    </row>
    <row r="108" spans="2:15" s="5" customFormat="1" ht="48.75" customHeight="1">
      <c r="B108" s="3" t="s">
        <v>553</v>
      </c>
      <c r="C108" s="3" t="s">
        <v>343</v>
      </c>
      <c r="D108" s="35" t="s">
        <v>666</v>
      </c>
      <c r="E108" s="1" t="s">
        <v>106</v>
      </c>
      <c r="F108" s="1">
        <v>806</v>
      </c>
      <c r="G108" s="32"/>
      <c r="H108" s="32"/>
      <c r="I108" s="32"/>
      <c r="J108" s="32"/>
      <c r="K108" s="32">
        <v>0</v>
      </c>
      <c r="L108" s="32">
        <v>5000</v>
      </c>
      <c r="M108" s="32">
        <f t="shared" si="32"/>
        <v>5000</v>
      </c>
      <c r="N108" s="32"/>
      <c r="O108" s="32">
        <f t="shared" si="33"/>
        <v>5000</v>
      </c>
    </row>
    <row r="109" spans="2:15" s="5" customFormat="1" ht="45.75" customHeight="1">
      <c r="B109" s="3" t="s">
        <v>554</v>
      </c>
      <c r="C109" s="3" t="s">
        <v>343</v>
      </c>
      <c r="D109" s="35" t="s">
        <v>666</v>
      </c>
      <c r="E109" s="1" t="s">
        <v>106</v>
      </c>
      <c r="F109" s="1">
        <v>807</v>
      </c>
      <c r="G109" s="32"/>
      <c r="H109" s="32"/>
      <c r="I109" s="32"/>
      <c r="J109" s="32"/>
      <c r="K109" s="32">
        <v>0</v>
      </c>
      <c r="L109" s="32">
        <v>31372</v>
      </c>
      <c r="M109" s="32">
        <f t="shared" si="32"/>
        <v>31372</v>
      </c>
      <c r="N109" s="32"/>
      <c r="O109" s="32">
        <f t="shared" si="33"/>
        <v>31372</v>
      </c>
    </row>
    <row r="110" spans="2:15" s="5" customFormat="1" ht="31.5" hidden="1">
      <c r="B110" s="3" t="s">
        <v>551</v>
      </c>
      <c r="C110" s="3" t="s">
        <v>343</v>
      </c>
      <c r="D110" s="35" t="s">
        <v>666</v>
      </c>
      <c r="E110" s="1" t="s">
        <v>280</v>
      </c>
      <c r="F110" s="1">
        <v>412</v>
      </c>
      <c r="G110" s="32">
        <v>12000</v>
      </c>
      <c r="H110" s="32">
        <v>-1415</v>
      </c>
      <c r="I110" s="32">
        <f>G110+H110</f>
        <v>10585</v>
      </c>
      <c r="J110" s="32"/>
      <c r="K110" s="32">
        <f>I110+J110</f>
        <v>10585</v>
      </c>
      <c r="L110" s="32">
        <v>-10585</v>
      </c>
      <c r="M110" s="32">
        <f t="shared" si="32"/>
        <v>0</v>
      </c>
      <c r="N110" s="32"/>
      <c r="O110" s="32">
        <f t="shared" si="33"/>
        <v>0</v>
      </c>
    </row>
    <row r="111" spans="2:15" s="5" customFormat="1" ht="31.5">
      <c r="B111" s="3" t="s">
        <v>555</v>
      </c>
      <c r="C111" s="3" t="s">
        <v>343</v>
      </c>
      <c r="D111" s="35" t="s">
        <v>666</v>
      </c>
      <c r="E111" s="1" t="s">
        <v>106</v>
      </c>
      <c r="F111" s="1">
        <v>809</v>
      </c>
      <c r="G111" s="32">
        <v>12000</v>
      </c>
      <c r="H111" s="32">
        <v>-1415</v>
      </c>
      <c r="I111" s="32">
        <f>G111+H111</f>
        <v>10585</v>
      </c>
      <c r="J111" s="32"/>
      <c r="K111" s="32">
        <v>0</v>
      </c>
      <c r="L111" s="32">
        <v>7935</v>
      </c>
      <c r="M111" s="32">
        <f t="shared" si="32"/>
        <v>7935</v>
      </c>
      <c r="N111" s="32"/>
      <c r="O111" s="32">
        <f t="shared" si="33"/>
        <v>7935</v>
      </c>
    </row>
    <row r="112" spans="2:15" s="5" customFormat="1" ht="47.25" customHeight="1">
      <c r="B112" s="3" t="s">
        <v>556</v>
      </c>
      <c r="C112" s="3" t="s">
        <v>343</v>
      </c>
      <c r="D112" s="35" t="s">
        <v>666</v>
      </c>
      <c r="E112" s="1" t="s">
        <v>106</v>
      </c>
      <c r="F112" s="1">
        <v>412</v>
      </c>
      <c r="G112" s="32"/>
      <c r="H112" s="32"/>
      <c r="I112" s="32"/>
      <c r="J112" s="32"/>
      <c r="K112" s="32">
        <v>0</v>
      </c>
      <c r="L112" s="32">
        <v>23687</v>
      </c>
      <c r="M112" s="32">
        <f t="shared" si="32"/>
        <v>23687</v>
      </c>
      <c r="N112" s="32"/>
      <c r="O112" s="32">
        <f t="shared" si="33"/>
        <v>23687</v>
      </c>
    </row>
    <row r="113" spans="2:15" s="5" customFormat="1" ht="31.5" hidden="1">
      <c r="B113" s="3" t="s">
        <v>554</v>
      </c>
      <c r="C113" s="3" t="s">
        <v>343</v>
      </c>
      <c r="D113" s="35" t="s">
        <v>666</v>
      </c>
      <c r="E113" s="1" t="s">
        <v>226</v>
      </c>
      <c r="F113" s="1">
        <v>197</v>
      </c>
      <c r="G113" s="32">
        <v>4400</v>
      </c>
      <c r="H113" s="32">
        <v>900</v>
      </c>
      <c r="I113" s="32">
        <f>G113+H113</f>
        <v>5300</v>
      </c>
      <c r="J113" s="32"/>
      <c r="K113" s="32">
        <f>I113+J113</f>
        <v>5300</v>
      </c>
      <c r="L113" s="32">
        <v>-5300</v>
      </c>
      <c r="M113" s="32">
        <f t="shared" si="32"/>
        <v>0</v>
      </c>
      <c r="N113" s="32"/>
      <c r="O113" s="32">
        <f t="shared" si="33"/>
        <v>0</v>
      </c>
    </row>
    <row r="114" spans="2:15" s="5" customFormat="1" ht="31.5">
      <c r="B114" s="3" t="s">
        <v>557</v>
      </c>
      <c r="C114" s="3" t="s">
        <v>343</v>
      </c>
      <c r="D114" s="41" t="s">
        <v>94</v>
      </c>
      <c r="E114" s="1" t="s">
        <v>106</v>
      </c>
      <c r="F114" s="1">
        <v>806</v>
      </c>
      <c r="G114" s="32"/>
      <c r="H114" s="32"/>
      <c r="I114" s="32"/>
      <c r="J114" s="32"/>
      <c r="K114" s="32">
        <v>0</v>
      </c>
      <c r="L114" s="88">
        <v>2600</v>
      </c>
      <c r="M114" s="32">
        <f t="shared" si="32"/>
        <v>2600</v>
      </c>
      <c r="N114" s="88"/>
      <c r="O114" s="32">
        <f t="shared" si="33"/>
        <v>2600</v>
      </c>
    </row>
    <row r="115" spans="2:15" s="5" customFormat="1" ht="31.5">
      <c r="B115" s="3" t="s">
        <v>558</v>
      </c>
      <c r="C115" s="3" t="s">
        <v>343</v>
      </c>
      <c r="D115" s="41" t="s">
        <v>94</v>
      </c>
      <c r="E115" s="1" t="s">
        <v>106</v>
      </c>
      <c r="F115" s="1">
        <v>412</v>
      </c>
      <c r="G115" s="32"/>
      <c r="H115" s="32"/>
      <c r="I115" s="32"/>
      <c r="J115" s="32"/>
      <c r="K115" s="32">
        <v>0</v>
      </c>
      <c r="L115" s="88">
        <v>900</v>
      </c>
      <c r="M115" s="32">
        <f t="shared" si="32"/>
        <v>900</v>
      </c>
      <c r="N115" s="88"/>
      <c r="O115" s="32">
        <f t="shared" si="33"/>
        <v>900</v>
      </c>
    </row>
    <row r="116" spans="2:15" s="5" customFormat="1" ht="39.75" customHeight="1">
      <c r="B116" s="3" t="s">
        <v>559</v>
      </c>
      <c r="C116" s="3" t="s">
        <v>343</v>
      </c>
      <c r="D116" s="41" t="s">
        <v>95</v>
      </c>
      <c r="E116" s="1" t="s">
        <v>106</v>
      </c>
      <c r="F116" s="1">
        <v>412</v>
      </c>
      <c r="G116" s="32"/>
      <c r="H116" s="32"/>
      <c r="I116" s="32"/>
      <c r="J116" s="32"/>
      <c r="K116" s="32">
        <v>0</v>
      </c>
      <c r="L116" s="88">
        <v>1800</v>
      </c>
      <c r="M116" s="32">
        <f t="shared" si="32"/>
        <v>1800</v>
      </c>
      <c r="N116" s="88"/>
      <c r="O116" s="32">
        <f t="shared" si="33"/>
        <v>1800</v>
      </c>
    </row>
    <row r="117" spans="2:15" s="5" customFormat="1" ht="46.5" customHeight="1">
      <c r="B117" s="3" t="s">
        <v>560</v>
      </c>
      <c r="C117" s="3" t="s">
        <v>343</v>
      </c>
      <c r="D117" s="29" t="s">
        <v>59</v>
      </c>
      <c r="E117" s="1" t="s">
        <v>10</v>
      </c>
      <c r="F117" s="3" t="s">
        <v>411</v>
      </c>
      <c r="G117" s="32">
        <v>230</v>
      </c>
      <c r="H117" s="32"/>
      <c r="I117" s="32">
        <f>G117+H117</f>
        <v>230</v>
      </c>
      <c r="J117" s="32"/>
      <c r="K117" s="32">
        <f>I117+J117</f>
        <v>230</v>
      </c>
      <c r="L117" s="32"/>
      <c r="M117" s="32">
        <f t="shared" si="32"/>
        <v>230</v>
      </c>
      <c r="N117" s="32"/>
      <c r="O117" s="32">
        <f t="shared" si="33"/>
        <v>230</v>
      </c>
    </row>
    <row r="118" spans="2:15" s="5" customFormat="1" ht="47.25" customHeight="1">
      <c r="B118" s="3" t="s">
        <v>561</v>
      </c>
      <c r="C118" s="3" t="s">
        <v>343</v>
      </c>
      <c r="D118" s="29" t="s">
        <v>1</v>
      </c>
      <c r="E118" s="1" t="s">
        <v>427</v>
      </c>
      <c r="F118" s="3" t="s">
        <v>411</v>
      </c>
      <c r="G118" s="32">
        <v>902</v>
      </c>
      <c r="H118" s="32"/>
      <c r="I118" s="32">
        <f>G118+H118</f>
        <v>902</v>
      </c>
      <c r="J118" s="32"/>
      <c r="K118" s="32">
        <f>I118+J118</f>
        <v>902</v>
      </c>
      <c r="L118" s="32"/>
      <c r="M118" s="32">
        <f t="shared" si="32"/>
        <v>902</v>
      </c>
      <c r="N118" s="32"/>
      <c r="O118" s="32">
        <f t="shared" si="33"/>
        <v>902</v>
      </c>
    </row>
    <row r="119" spans="2:15" s="5" customFormat="1" ht="31.5" customHeight="1" hidden="1">
      <c r="B119" s="3" t="s">
        <v>555</v>
      </c>
      <c r="C119" s="3" t="s">
        <v>343</v>
      </c>
      <c r="D119" s="35" t="s">
        <v>258</v>
      </c>
      <c r="E119" s="1" t="s">
        <v>219</v>
      </c>
      <c r="F119" s="3" t="s">
        <v>411</v>
      </c>
      <c r="G119" s="32">
        <f>218000-39800</f>
        <v>178200</v>
      </c>
      <c r="H119" s="32"/>
      <c r="I119" s="32">
        <f>G119+H119</f>
        <v>178200</v>
      </c>
      <c r="J119" s="32">
        <v>-178200</v>
      </c>
      <c r="K119" s="32">
        <f>I119+J119</f>
        <v>0</v>
      </c>
      <c r="L119" s="32"/>
      <c r="M119" s="32">
        <f t="shared" si="32"/>
        <v>0</v>
      </c>
      <c r="N119" s="32"/>
      <c r="O119" s="32">
        <f t="shared" si="33"/>
        <v>0</v>
      </c>
    </row>
    <row r="120" spans="2:15" s="5" customFormat="1" ht="15.75" customHeight="1" hidden="1">
      <c r="B120" s="3" t="s">
        <v>292</v>
      </c>
      <c r="C120" s="3" t="s">
        <v>343</v>
      </c>
      <c r="D120" s="35" t="s">
        <v>305</v>
      </c>
      <c r="E120" s="1" t="s">
        <v>394</v>
      </c>
      <c r="F120" s="3" t="s">
        <v>411</v>
      </c>
      <c r="G120" s="32"/>
      <c r="H120" s="32">
        <v>-490</v>
      </c>
      <c r="I120" s="32">
        <f>G120+H120</f>
        <v>-490</v>
      </c>
      <c r="J120" s="32"/>
      <c r="K120" s="32"/>
      <c r="L120" s="32"/>
      <c r="M120" s="32">
        <f t="shared" si="32"/>
        <v>0</v>
      </c>
      <c r="N120" s="32"/>
      <c r="O120" s="32">
        <f t="shared" si="33"/>
        <v>0</v>
      </c>
    </row>
    <row r="121" spans="2:15" s="5" customFormat="1" ht="31.5" customHeight="1" hidden="1">
      <c r="B121" s="3" t="s">
        <v>293</v>
      </c>
      <c r="C121" s="3" t="s">
        <v>343</v>
      </c>
      <c r="D121" s="35" t="s">
        <v>306</v>
      </c>
      <c r="E121" s="1" t="s">
        <v>394</v>
      </c>
      <c r="F121" s="3" t="s">
        <v>411</v>
      </c>
      <c r="G121" s="32"/>
      <c r="H121" s="32">
        <v>490</v>
      </c>
      <c r="I121" s="32">
        <f>G121+H121</f>
        <v>490</v>
      </c>
      <c r="J121" s="32"/>
      <c r="K121" s="32"/>
      <c r="L121" s="32"/>
      <c r="M121" s="32">
        <f t="shared" si="32"/>
        <v>0</v>
      </c>
      <c r="N121" s="32"/>
      <c r="O121" s="32">
        <f t="shared" si="33"/>
        <v>0</v>
      </c>
    </row>
    <row r="122" spans="2:15" s="5" customFormat="1" ht="47.25" hidden="1">
      <c r="B122" s="3" t="s">
        <v>560</v>
      </c>
      <c r="C122" s="3" t="s">
        <v>343</v>
      </c>
      <c r="D122" s="35" t="s">
        <v>160</v>
      </c>
      <c r="E122" s="1" t="s">
        <v>219</v>
      </c>
      <c r="F122" s="3" t="s">
        <v>198</v>
      </c>
      <c r="G122" s="32">
        <f>218000-39800</f>
        <v>178200</v>
      </c>
      <c r="H122" s="32"/>
      <c r="I122" s="32">
        <v>0</v>
      </c>
      <c r="J122" s="32">
        <v>18000</v>
      </c>
      <c r="K122" s="32">
        <f>I122+J122</f>
        <v>18000</v>
      </c>
      <c r="L122" s="32">
        <v>-18000</v>
      </c>
      <c r="M122" s="32">
        <f t="shared" si="32"/>
        <v>0</v>
      </c>
      <c r="N122" s="32"/>
      <c r="O122" s="32">
        <f t="shared" si="33"/>
        <v>0</v>
      </c>
    </row>
    <row r="123" spans="2:15" s="5" customFormat="1" ht="48.75" customHeight="1">
      <c r="B123" s="66" t="s">
        <v>562</v>
      </c>
      <c r="C123" s="66" t="s">
        <v>343</v>
      </c>
      <c r="D123" s="74" t="s">
        <v>161</v>
      </c>
      <c r="E123" s="67" t="s">
        <v>219</v>
      </c>
      <c r="F123" s="66" t="s">
        <v>197</v>
      </c>
      <c r="G123" s="68">
        <f>218000-39800</f>
        <v>178200</v>
      </c>
      <c r="H123" s="68"/>
      <c r="I123" s="68">
        <v>0</v>
      </c>
      <c r="J123" s="68">
        <v>160200</v>
      </c>
      <c r="K123" s="68">
        <f>I123+J123</f>
        <v>160200</v>
      </c>
      <c r="L123" s="68"/>
      <c r="M123" s="68">
        <f t="shared" si="32"/>
        <v>160200</v>
      </c>
      <c r="N123" s="68">
        <v>-89419</v>
      </c>
      <c r="O123" s="68">
        <f t="shared" si="33"/>
        <v>70781</v>
      </c>
    </row>
    <row r="124" spans="2:15" s="5" customFormat="1" ht="177" customHeight="1">
      <c r="B124" s="3" t="s">
        <v>563</v>
      </c>
      <c r="C124" s="3" t="s">
        <v>343</v>
      </c>
      <c r="D124" s="42" t="s">
        <v>2</v>
      </c>
      <c r="E124" s="1" t="s">
        <v>220</v>
      </c>
      <c r="F124" s="3" t="s">
        <v>197</v>
      </c>
      <c r="G124" s="32">
        <v>39800</v>
      </c>
      <c r="H124" s="32"/>
      <c r="I124" s="32">
        <f>G124+H124</f>
        <v>39800</v>
      </c>
      <c r="J124" s="32"/>
      <c r="K124" s="32">
        <f>I124+J124</f>
        <v>39800</v>
      </c>
      <c r="L124" s="32"/>
      <c r="M124" s="32">
        <f t="shared" si="32"/>
        <v>39800</v>
      </c>
      <c r="N124" s="32"/>
      <c r="O124" s="32">
        <f t="shared" si="33"/>
        <v>39800</v>
      </c>
    </row>
    <row r="125" spans="2:15" s="36" customFormat="1" ht="21" customHeight="1">
      <c r="B125" s="6" t="s">
        <v>564</v>
      </c>
      <c r="C125" s="6" t="s">
        <v>423</v>
      </c>
      <c r="D125" s="43" t="s">
        <v>424</v>
      </c>
      <c r="E125" s="7"/>
      <c r="F125" s="7"/>
      <c r="G125" s="30">
        <f aca="true" t="shared" si="35" ref="G125:O125">+G127</f>
        <v>1600</v>
      </c>
      <c r="H125" s="30">
        <f t="shared" si="35"/>
        <v>129.93072</v>
      </c>
      <c r="I125" s="30">
        <f t="shared" si="35"/>
        <v>1729.93072</v>
      </c>
      <c r="J125" s="30">
        <f t="shared" si="35"/>
        <v>0</v>
      </c>
      <c r="K125" s="30">
        <f t="shared" si="35"/>
        <v>1729.93072</v>
      </c>
      <c r="L125" s="30">
        <f t="shared" si="35"/>
        <v>0</v>
      </c>
      <c r="M125" s="30">
        <f t="shared" si="35"/>
        <v>1729.93072</v>
      </c>
      <c r="N125" s="30">
        <f t="shared" si="35"/>
        <v>0</v>
      </c>
      <c r="O125" s="30">
        <f t="shared" si="35"/>
        <v>1729.93072</v>
      </c>
    </row>
    <row r="126" spans="2:15" s="57" customFormat="1" ht="21.75" customHeight="1">
      <c r="B126" s="23" t="s">
        <v>565</v>
      </c>
      <c r="C126" s="23" t="s">
        <v>442</v>
      </c>
      <c r="D126" s="39" t="s">
        <v>443</v>
      </c>
      <c r="E126" s="21"/>
      <c r="F126" s="21"/>
      <c r="G126" s="31">
        <f aca="true" t="shared" si="36" ref="G126:O126">G127</f>
        <v>1600</v>
      </c>
      <c r="H126" s="31">
        <f t="shared" si="36"/>
        <v>129.93072</v>
      </c>
      <c r="I126" s="31">
        <f t="shared" si="36"/>
        <v>1729.93072</v>
      </c>
      <c r="J126" s="31">
        <f t="shared" si="36"/>
        <v>0</v>
      </c>
      <c r="K126" s="31">
        <f t="shared" si="36"/>
        <v>1729.93072</v>
      </c>
      <c r="L126" s="31">
        <f t="shared" si="36"/>
        <v>0</v>
      </c>
      <c r="M126" s="31">
        <f t="shared" si="36"/>
        <v>1729.93072</v>
      </c>
      <c r="N126" s="31">
        <f t="shared" si="36"/>
        <v>0</v>
      </c>
      <c r="O126" s="31">
        <f t="shared" si="36"/>
        <v>1729.93072</v>
      </c>
    </row>
    <row r="127" spans="2:15" s="36" customFormat="1" ht="63">
      <c r="B127" s="3" t="s">
        <v>628</v>
      </c>
      <c r="C127" s="3" t="s">
        <v>442</v>
      </c>
      <c r="D127" s="29" t="s">
        <v>259</v>
      </c>
      <c r="E127" s="1" t="s">
        <v>444</v>
      </c>
      <c r="F127" s="1">
        <v>443</v>
      </c>
      <c r="G127" s="32">
        <v>1600</v>
      </c>
      <c r="H127" s="32">
        <v>129.93072</v>
      </c>
      <c r="I127" s="32">
        <f>G127+H127</f>
        <v>1729.93072</v>
      </c>
      <c r="J127" s="32"/>
      <c r="K127" s="32">
        <f>I127+J127</f>
        <v>1729.93072</v>
      </c>
      <c r="L127" s="32"/>
      <c r="M127" s="32">
        <f>K127+L127</f>
        <v>1729.93072</v>
      </c>
      <c r="N127" s="32"/>
      <c r="O127" s="32">
        <f>M127+N127</f>
        <v>1729.93072</v>
      </c>
    </row>
    <row r="128" spans="2:15" s="36" customFormat="1" ht="21.75" customHeight="1">
      <c r="B128" s="6" t="s">
        <v>566</v>
      </c>
      <c r="C128" s="6" t="s">
        <v>344</v>
      </c>
      <c r="D128" s="38" t="s">
        <v>310</v>
      </c>
      <c r="E128" s="7"/>
      <c r="F128" s="7"/>
      <c r="G128" s="30" t="e">
        <f aca="true" t="shared" si="37" ref="G128:O128">G129+G139+G167+G170</f>
        <v>#REF!</v>
      </c>
      <c r="H128" s="30" t="e">
        <f t="shared" si="37"/>
        <v>#REF!</v>
      </c>
      <c r="I128" s="30">
        <f t="shared" si="37"/>
        <v>911733.2848499998</v>
      </c>
      <c r="J128" s="30">
        <f t="shared" si="37"/>
        <v>15445.426000000001</v>
      </c>
      <c r="K128" s="30">
        <f t="shared" si="37"/>
        <v>927178.71085</v>
      </c>
      <c r="L128" s="30">
        <f t="shared" si="37"/>
        <v>270</v>
      </c>
      <c r="M128" s="30">
        <f t="shared" si="37"/>
        <v>927448.7108500001</v>
      </c>
      <c r="N128" s="30">
        <f t="shared" si="37"/>
        <v>3060</v>
      </c>
      <c r="O128" s="30">
        <f t="shared" si="37"/>
        <v>930508.7108500001</v>
      </c>
    </row>
    <row r="129" spans="2:15" s="56" customFormat="1" ht="21" customHeight="1">
      <c r="B129" s="23" t="s">
        <v>567</v>
      </c>
      <c r="C129" s="23" t="s">
        <v>345</v>
      </c>
      <c r="D129" s="39" t="s">
        <v>317</v>
      </c>
      <c r="E129" s="21"/>
      <c r="F129" s="21"/>
      <c r="G129" s="31">
        <f>G130+G135+G136+G138+G132+G131+G137</f>
        <v>363145.9</v>
      </c>
      <c r="H129" s="31">
        <f>H130+H135+H136+H138+H132+H131+H137</f>
        <v>-58.70902000000024</v>
      </c>
      <c r="I129" s="31">
        <f>I130+I135+I136+I138+I132+I131+I137</f>
        <v>363087.19097999996</v>
      </c>
      <c r="J129" s="31">
        <f>J130+J135+J136+J138+J132+J131+J137</f>
        <v>4572.82716</v>
      </c>
      <c r="K129" s="31">
        <f>K130+K135+K136+K138+K132+K131+K137</f>
        <v>367660.01814</v>
      </c>
      <c r="L129" s="31">
        <f>L130+L135+L136+L138+L132+L131+L137+L133+L134</f>
        <v>3400</v>
      </c>
      <c r="M129" s="31">
        <f>M130+M135+M136+M138+M132+M131+M137+M133+M134</f>
        <v>371060.01814</v>
      </c>
      <c r="N129" s="31">
        <f>N130+N135+N136+N138+N132+N131+N137+N133+N134</f>
        <v>0</v>
      </c>
      <c r="O129" s="31">
        <f>O130+O135+O136+O138+O132+O131+O137+O133+O134</f>
        <v>371060.01814</v>
      </c>
    </row>
    <row r="130" spans="2:15" s="36" customFormat="1" ht="29.25" customHeight="1">
      <c r="B130" s="3" t="s">
        <v>568</v>
      </c>
      <c r="C130" s="3" t="s">
        <v>345</v>
      </c>
      <c r="D130" s="29" t="s">
        <v>260</v>
      </c>
      <c r="E130" s="1" t="s">
        <v>407</v>
      </c>
      <c r="F130" s="1" t="s">
        <v>325</v>
      </c>
      <c r="G130" s="32">
        <v>317696.5</v>
      </c>
      <c r="H130" s="32">
        <v>117.35</v>
      </c>
      <c r="I130" s="32">
        <f>G130+H130</f>
        <v>317813.85</v>
      </c>
      <c r="J130" s="32">
        <v>4572.9</v>
      </c>
      <c r="K130" s="32">
        <f>I130+J130</f>
        <v>322386.75</v>
      </c>
      <c r="L130" s="32"/>
      <c r="M130" s="32">
        <f aca="true" t="shared" si="38" ref="M130:M138">K130+L130</f>
        <v>322386.75</v>
      </c>
      <c r="N130" s="32"/>
      <c r="O130" s="32">
        <f aca="true" t="shared" si="39" ref="O130:O138">M130+N130</f>
        <v>322386.75</v>
      </c>
    </row>
    <row r="131" spans="2:15" s="36" customFormat="1" ht="95.25" customHeight="1">
      <c r="B131" s="3" t="s">
        <v>569</v>
      </c>
      <c r="C131" s="3" t="s">
        <v>345</v>
      </c>
      <c r="D131" s="42" t="s">
        <v>3</v>
      </c>
      <c r="E131" s="1" t="s">
        <v>307</v>
      </c>
      <c r="F131" s="1">
        <v>327</v>
      </c>
      <c r="G131" s="32">
        <v>3099.4</v>
      </c>
      <c r="H131" s="32"/>
      <c r="I131" s="32">
        <f>G131+H131</f>
        <v>3099.4</v>
      </c>
      <c r="J131" s="32"/>
      <c r="K131" s="32">
        <f>I131+J131</f>
        <v>3099.4</v>
      </c>
      <c r="L131" s="32"/>
      <c r="M131" s="32">
        <f t="shared" si="38"/>
        <v>3099.4</v>
      </c>
      <c r="N131" s="32"/>
      <c r="O131" s="32">
        <f t="shared" si="39"/>
        <v>3099.4</v>
      </c>
    </row>
    <row r="132" spans="2:15" s="36" customFormat="1" ht="94.5" hidden="1">
      <c r="B132" s="3" t="s">
        <v>628</v>
      </c>
      <c r="C132" s="3" t="s">
        <v>345</v>
      </c>
      <c r="D132" s="89" t="s">
        <v>50</v>
      </c>
      <c r="E132" s="1" t="s">
        <v>51</v>
      </c>
      <c r="F132" s="1" t="s">
        <v>325</v>
      </c>
      <c r="G132" s="32">
        <v>0</v>
      </c>
      <c r="H132" s="32">
        <v>0.07284</v>
      </c>
      <c r="I132" s="32">
        <f>G132+H132</f>
        <v>0.07284</v>
      </c>
      <c r="J132" s="32">
        <v>-0.07284</v>
      </c>
      <c r="K132" s="32">
        <f>I132+J132</f>
        <v>0</v>
      </c>
      <c r="L132" s="32"/>
      <c r="M132" s="32">
        <f t="shared" si="38"/>
        <v>0</v>
      </c>
      <c r="N132" s="32"/>
      <c r="O132" s="32">
        <f t="shared" si="39"/>
        <v>0</v>
      </c>
    </row>
    <row r="133" spans="2:15" s="36" customFormat="1" ht="31.5">
      <c r="B133" s="3" t="s">
        <v>570</v>
      </c>
      <c r="C133" s="3" t="s">
        <v>345</v>
      </c>
      <c r="D133" s="29" t="s">
        <v>101</v>
      </c>
      <c r="E133" s="1" t="s">
        <v>227</v>
      </c>
      <c r="F133" s="1">
        <v>327</v>
      </c>
      <c r="G133" s="32"/>
      <c r="H133" s="32"/>
      <c r="I133" s="32"/>
      <c r="J133" s="32"/>
      <c r="K133" s="32">
        <v>0</v>
      </c>
      <c r="L133" s="32">
        <f>5402+3400</f>
        <v>8802</v>
      </c>
      <c r="M133" s="32">
        <f t="shared" si="38"/>
        <v>8802</v>
      </c>
      <c r="N133" s="77"/>
      <c r="O133" s="32">
        <f t="shared" si="39"/>
        <v>8802</v>
      </c>
    </row>
    <row r="134" spans="2:15" s="36" customFormat="1" ht="31.5">
      <c r="B134" s="3" t="s">
        <v>571</v>
      </c>
      <c r="C134" s="3" t="s">
        <v>345</v>
      </c>
      <c r="D134" s="35" t="s">
        <v>29</v>
      </c>
      <c r="E134" s="1" t="s">
        <v>80</v>
      </c>
      <c r="F134" s="1">
        <v>327</v>
      </c>
      <c r="G134" s="32"/>
      <c r="H134" s="32"/>
      <c r="I134" s="32"/>
      <c r="J134" s="32"/>
      <c r="K134" s="32">
        <v>0</v>
      </c>
      <c r="L134" s="32">
        <v>2000</v>
      </c>
      <c r="M134" s="32">
        <f t="shared" si="38"/>
        <v>2000</v>
      </c>
      <c r="N134" s="32"/>
      <c r="O134" s="32">
        <f t="shared" si="39"/>
        <v>2000</v>
      </c>
    </row>
    <row r="135" spans="2:15" s="36" customFormat="1" ht="30.75" customHeight="1">
      <c r="B135" s="3" t="s">
        <v>572</v>
      </c>
      <c r="C135" s="3" t="s">
        <v>345</v>
      </c>
      <c r="D135" s="35" t="s">
        <v>188</v>
      </c>
      <c r="E135" s="1" t="s">
        <v>407</v>
      </c>
      <c r="F135" s="1" t="s">
        <v>325</v>
      </c>
      <c r="G135" s="32">
        <v>0</v>
      </c>
      <c r="H135" s="32">
        <v>921.86814</v>
      </c>
      <c r="I135" s="32">
        <f>G135+H135</f>
        <v>921.86814</v>
      </c>
      <c r="J135" s="32"/>
      <c r="K135" s="32">
        <f>I135+J135</f>
        <v>921.86814</v>
      </c>
      <c r="L135" s="32"/>
      <c r="M135" s="32">
        <f t="shared" si="38"/>
        <v>921.86814</v>
      </c>
      <c r="N135" s="32"/>
      <c r="O135" s="32">
        <f t="shared" si="39"/>
        <v>921.86814</v>
      </c>
    </row>
    <row r="136" spans="2:15" s="36" customFormat="1" ht="31.5" hidden="1">
      <c r="B136" s="3" t="s">
        <v>582</v>
      </c>
      <c r="C136" s="3" t="s">
        <v>345</v>
      </c>
      <c r="D136" s="35" t="s">
        <v>637</v>
      </c>
      <c r="E136" s="1" t="s">
        <v>483</v>
      </c>
      <c r="F136" s="1" t="s">
        <v>325</v>
      </c>
      <c r="G136" s="32"/>
      <c r="H136" s="32"/>
      <c r="I136" s="32">
        <f>G136+H136</f>
        <v>0</v>
      </c>
      <c r="J136" s="32"/>
      <c r="K136" s="32">
        <f>I136+J136</f>
        <v>0</v>
      </c>
      <c r="L136" s="32"/>
      <c r="M136" s="32">
        <f t="shared" si="38"/>
        <v>0</v>
      </c>
      <c r="N136" s="32"/>
      <c r="O136" s="32">
        <f t="shared" si="39"/>
        <v>0</v>
      </c>
    </row>
    <row r="137" spans="2:15" s="36" customFormat="1" ht="35.25" customHeight="1">
      <c r="B137" s="3" t="s">
        <v>573</v>
      </c>
      <c r="C137" s="3" t="s">
        <v>345</v>
      </c>
      <c r="D137" s="35" t="s">
        <v>666</v>
      </c>
      <c r="E137" s="1" t="s">
        <v>227</v>
      </c>
      <c r="F137" s="1">
        <v>327</v>
      </c>
      <c r="G137" s="32">
        <v>42350</v>
      </c>
      <c r="H137" s="32">
        <v>-7598</v>
      </c>
      <c r="I137" s="32">
        <f>G137+H137</f>
        <v>34752</v>
      </c>
      <c r="J137" s="32"/>
      <c r="K137" s="32">
        <f>I137+J137</f>
        <v>34752</v>
      </c>
      <c r="L137" s="32">
        <v>-5402</v>
      </c>
      <c r="M137" s="32">
        <f t="shared" si="38"/>
        <v>29350</v>
      </c>
      <c r="N137" s="32"/>
      <c r="O137" s="32">
        <f t="shared" si="39"/>
        <v>29350</v>
      </c>
    </row>
    <row r="138" spans="2:15" s="36" customFormat="1" ht="48" customHeight="1">
      <c r="B138" s="3" t="s">
        <v>574</v>
      </c>
      <c r="C138" s="3" t="s">
        <v>345</v>
      </c>
      <c r="D138" s="35" t="s">
        <v>287</v>
      </c>
      <c r="E138" s="1" t="s">
        <v>80</v>
      </c>
      <c r="F138" s="1" t="s">
        <v>325</v>
      </c>
      <c r="G138" s="32">
        <v>0</v>
      </c>
      <c r="H138" s="32">
        <v>6500</v>
      </c>
      <c r="I138" s="32">
        <f>G138+H138</f>
        <v>6500</v>
      </c>
      <c r="J138" s="32"/>
      <c r="K138" s="32">
        <f>I138+J138</f>
        <v>6500</v>
      </c>
      <c r="L138" s="32">
        <v>-2000</v>
      </c>
      <c r="M138" s="32">
        <f t="shared" si="38"/>
        <v>4500</v>
      </c>
      <c r="N138" s="32"/>
      <c r="O138" s="32">
        <f t="shared" si="39"/>
        <v>4500</v>
      </c>
    </row>
    <row r="139" spans="2:15" s="56" customFormat="1" ht="18" customHeight="1">
      <c r="B139" s="23" t="s">
        <v>575</v>
      </c>
      <c r="C139" s="23" t="s">
        <v>346</v>
      </c>
      <c r="D139" s="40" t="s">
        <v>318</v>
      </c>
      <c r="E139" s="21"/>
      <c r="F139" s="21"/>
      <c r="G139" s="31" t="e">
        <f>G140+G158+G160+G161+G163+G151+G164+G165+#REF!+G149+G166</f>
        <v>#REF!</v>
      </c>
      <c r="H139" s="31" t="e">
        <f>H140+H158+H160+H161+H163+H151+H164+H165+#REF!+H149+H166+H150</f>
        <v>#REF!</v>
      </c>
      <c r="I139" s="31">
        <f>I140+I158+I160+I161+I163+I151+I164+I165+I149+I166+I150</f>
        <v>496155.19386999996</v>
      </c>
      <c r="J139" s="31">
        <f>J140+J158+J160+J161+J163+J151+J164+J165+J149+J166+J150</f>
        <v>10257.998840000002</v>
      </c>
      <c r="K139" s="31">
        <f>K140+K149+K150+K151+K158+K159+K160+K161+K162+K163+K164+K166</f>
        <v>506413.19271000003</v>
      </c>
      <c r="L139" s="31">
        <f>L140+L149+L150+L151+L158+L159+L160+L161+L162+L163+L164+L166</f>
        <v>-3510</v>
      </c>
      <c r="M139" s="31">
        <f>M140+M149+M150+M151+M158+M159+M160+M161+M162+M163+M164+M166</f>
        <v>502903.1927100001</v>
      </c>
      <c r="N139" s="31">
        <f>N140+N149+N150+N151+N158+N159+N160+N161+N162+N163+N164+N166</f>
        <v>3060</v>
      </c>
      <c r="O139" s="31">
        <f>O140+O149+O150+O151+O158+O159+O160+O161+O162+O163+O164+O166</f>
        <v>505963.1927100001</v>
      </c>
    </row>
    <row r="140" spans="2:15" s="36" customFormat="1" ht="21.75" customHeight="1">
      <c r="B140" s="3" t="s">
        <v>576</v>
      </c>
      <c r="C140" s="3" t="s">
        <v>346</v>
      </c>
      <c r="D140" s="35" t="s">
        <v>260</v>
      </c>
      <c r="E140" s="1"/>
      <c r="F140" s="1"/>
      <c r="G140" s="32">
        <f>G142+G143+G146+G152+G154+G155+G144+G145+G141+G153+G147</f>
        <v>403203.1</v>
      </c>
      <c r="H140" s="32">
        <f>H142+H143+H146+H152+H154+H155+H144+H145+H141+H153+H147</f>
        <v>2922.99419</v>
      </c>
      <c r="I140" s="32">
        <f>I142+I143+I146+I152+I154+I155+I144+I145+I141+I153+I147</f>
        <v>406126.09419</v>
      </c>
      <c r="J140" s="32">
        <f>J142+J143+J146+J152+J154+J155+J144+J145+J141+J153+J147+J156</f>
        <v>9446.798840000001</v>
      </c>
      <c r="K140" s="32">
        <f>K142+K143+K146+K152+K154+K155+K144+K145+K141+K153+K147+K156</f>
        <v>415572.89303000004</v>
      </c>
      <c r="L140" s="32">
        <f>L142+L143+L144+L145+L146+L147+L148+L152+L153+L154+L155+L156+L157</f>
        <v>1220</v>
      </c>
      <c r="M140" s="32">
        <f>M142+M143+M144+M145+M146+M147+M148+M152+M153+M154+M155+M156+M157</f>
        <v>416792.8930300001</v>
      </c>
      <c r="N140" s="32">
        <f>N142+N143+N144+N145+N146+N147+N148+N152+N153+N154+N155+N156+N157</f>
        <v>3060</v>
      </c>
      <c r="O140" s="32">
        <f>O142+O143+O144+O145+O146+O147+O148+O152+O153+O154+O155+O156+O157</f>
        <v>419852.8930300001</v>
      </c>
    </row>
    <row r="141" spans="2:15" s="36" customFormat="1" ht="15.75" customHeight="1" hidden="1">
      <c r="B141" s="3" t="s">
        <v>586</v>
      </c>
      <c r="C141" s="3" t="s">
        <v>346</v>
      </c>
      <c r="D141" s="35" t="s">
        <v>449</v>
      </c>
      <c r="E141" s="1" t="s">
        <v>445</v>
      </c>
      <c r="F141" s="1">
        <v>327</v>
      </c>
      <c r="G141" s="32"/>
      <c r="H141" s="32"/>
      <c r="I141" s="32"/>
      <c r="J141" s="32"/>
      <c r="K141" s="32"/>
      <c r="L141" s="32"/>
      <c r="M141" s="32"/>
      <c r="N141" s="32"/>
      <c r="O141" s="32"/>
    </row>
    <row r="142" spans="2:15" s="36" customFormat="1" ht="30" customHeight="1">
      <c r="B142" s="3" t="s">
        <v>577</v>
      </c>
      <c r="C142" s="3" t="s">
        <v>346</v>
      </c>
      <c r="D142" s="35" t="s">
        <v>319</v>
      </c>
      <c r="E142" s="1" t="s">
        <v>404</v>
      </c>
      <c r="F142" s="1" t="s">
        <v>325</v>
      </c>
      <c r="G142" s="32">
        <v>78178.1</v>
      </c>
      <c r="H142" s="32"/>
      <c r="I142" s="32">
        <f aca="true" t="shared" si="40" ref="I142:I147">G142+H142</f>
        <v>78178.1</v>
      </c>
      <c r="J142" s="32">
        <v>450.7</v>
      </c>
      <c r="K142" s="32">
        <f aca="true" t="shared" si="41" ref="K142:K147">I142+J142</f>
        <v>78628.8</v>
      </c>
      <c r="L142" s="32"/>
      <c r="M142" s="32">
        <f aca="true" t="shared" si="42" ref="M142:M166">K142+L142</f>
        <v>78628.8</v>
      </c>
      <c r="N142" s="32"/>
      <c r="O142" s="32">
        <f aca="true" t="shared" si="43" ref="O142:O166">M142+N142</f>
        <v>78628.8</v>
      </c>
    </row>
    <row r="143" spans="2:15" s="36" customFormat="1" ht="49.5" customHeight="1">
      <c r="B143" s="3" t="s">
        <v>634</v>
      </c>
      <c r="C143" s="3" t="s">
        <v>346</v>
      </c>
      <c r="D143" s="35" t="s">
        <v>642</v>
      </c>
      <c r="E143" s="1" t="s">
        <v>438</v>
      </c>
      <c r="F143" s="1">
        <v>623</v>
      </c>
      <c r="G143" s="32">
        <v>6810.9</v>
      </c>
      <c r="H143" s="32">
        <v>0.34893</v>
      </c>
      <c r="I143" s="32">
        <f t="shared" si="40"/>
        <v>6811.24893</v>
      </c>
      <c r="J143" s="32">
        <v>695.726</v>
      </c>
      <c r="K143" s="32">
        <f t="shared" si="41"/>
        <v>7506.974929999999</v>
      </c>
      <c r="L143" s="32"/>
      <c r="M143" s="32">
        <f t="shared" si="42"/>
        <v>7506.974929999999</v>
      </c>
      <c r="N143" s="32"/>
      <c r="O143" s="32">
        <f t="shared" si="43"/>
        <v>7506.974929999999</v>
      </c>
    </row>
    <row r="144" spans="2:15" s="36" customFormat="1" ht="105" customHeight="1">
      <c r="B144" s="3" t="s">
        <v>294</v>
      </c>
      <c r="C144" s="3" t="s">
        <v>346</v>
      </c>
      <c r="D144" s="44" t="s">
        <v>4</v>
      </c>
      <c r="E144" s="1" t="s">
        <v>656</v>
      </c>
      <c r="F144" s="1" t="s">
        <v>325</v>
      </c>
      <c r="G144" s="32">
        <v>192692.5</v>
      </c>
      <c r="H144" s="32">
        <v>34.16826</v>
      </c>
      <c r="I144" s="32">
        <f t="shared" si="40"/>
        <v>192726.66826</v>
      </c>
      <c r="J144" s="32">
        <v>4316.3</v>
      </c>
      <c r="K144" s="32">
        <f t="shared" si="41"/>
        <v>197042.96826</v>
      </c>
      <c r="L144" s="32"/>
      <c r="M144" s="32">
        <f t="shared" si="42"/>
        <v>197042.96826</v>
      </c>
      <c r="N144" s="32"/>
      <c r="O144" s="32">
        <f t="shared" si="43"/>
        <v>197042.96826</v>
      </c>
    </row>
    <row r="145" spans="2:15" s="36" customFormat="1" ht="59.25" customHeight="1">
      <c r="B145" s="3" t="s">
        <v>578</v>
      </c>
      <c r="C145" s="3" t="s">
        <v>346</v>
      </c>
      <c r="D145" s="44" t="s">
        <v>643</v>
      </c>
      <c r="E145" s="1" t="s">
        <v>657</v>
      </c>
      <c r="F145" s="1" t="s">
        <v>325</v>
      </c>
      <c r="G145" s="32">
        <v>2170.1</v>
      </c>
      <c r="H145" s="32"/>
      <c r="I145" s="32">
        <f t="shared" si="40"/>
        <v>2170.1</v>
      </c>
      <c r="J145" s="32">
        <v>0.07284</v>
      </c>
      <c r="K145" s="32">
        <f t="shared" si="41"/>
        <v>2170.1728399999997</v>
      </c>
      <c r="L145" s="32"/>
      <c r="M145" s="32">
        <f t="shared" si="42"/>
        <v>2170.1728399999997</v>
      </c>
      <c r="N145" s="32"/>
      <c r="O145" s="32">
        <f t="shared" si="43"/>
        <v>2170.1728399999997</v>
      </c>
    </row>
    <row r="146" spans="2:15" s="36" customFormat="1" ht="21.75" customHeight="1">
      <c r="B146" s="3" t="s">
        <v>579</v>
      </c>
      <c r="C146" s="3" t="s">
        <v>346</v>
      </c>
      <c r="D146" s="35" t="s">
        <v>428</v>
      </c>
      <c r="E146" s="1" t="s">
        <v>404</v>
      </c>
      <c r="F146" s="1">
        <v>910</v>
      </c>
      <c r="G146" s="32">
        <v>430.2</v>
      </c>
      <c r="H146" s="32">
        <v>388.477</v>
      </c>
      <c r="I146" s="32">
        <f t="shared" si="40"/>
        <v>818.6769999999999</v>
      </c>
      <c r="J146" s="32"/>
      <c r="K146" s="32">
        <f t="shared" si="41"/>
        <v>818.6769999999999</v>
      </c>
      <c r="L146" s="32"/>
      <c r="M146" s="32">
        <f t="shared" si="42"/>
        <v>818.6769999999999</v>
      </c>
      <c r="N146" s="32"/>
      <c r="O146" s="32">
        <f t="shared" si="43"/>
        <v>818.6769999999999</v>
      </c>
    </row>
    <row r="147" spans="2:15" s="36" customFormat="1" ht="34.5" customHeight="1">
      <c r="B147" s="3" t="s">
        <v>580</v>
      </c>
      <c r="C147" s="3" t="s">
        <v>346</v>
      </c>
      <c r="D147" s="35" t="s">
        <v>48</v>
      </c>
      <c r="E147" s="1" t="s">
        <v>53</v>
      </c>
      <c r="F147" s="1">
        <v>327</v>
      </c>
      <c r="G147" s="32">
        <v>0</v>
      </c>
      <c r="H147" s="32">
        <v>2500</v>
      </c>
      <c r="I147" s="32">
        <f t="shared" si="40"/>
        <v>2500</v>
      </c>
      <c r="J147" s="32"/>
      <c r="K147" s="32">
        <f t="shared" si="41"/>
        <v>2500</v>
      </c>
      <c r="L147" s="32"/>
      <c r="M147" s="32">
        <f t="shared" si="42"/>
        <v>2500</v>
      </c>
      <c r="N147" s="32"/>
      <c r="O147" s="32">
        <f t="shared" si="43"/>
        <v>2500</v>
      </c>
    </row>
    <row r="148" spans="2:15" s="36" customFormat="1" ht="47.25">
      <c r="B148" s="66" t="s">
        <v>581</v>
      </c>
      <c r="C148" s="66" t="s">
        <v>346</v>
      </c>
      <c r="D148" s="74" t="s">
        <v>66</v>
      </c>
      <c r="E148" s="67" t="s">
        <v>67</v>
      </c>
      <c r="F148" s="67">
        <v>327</v>
      </c>
      <c r="G148" s="68"/>
      <c r="H148" s="68"/>
      <c r="I148" s="68"/>
      <c r="J148" s="68"/>
      <c r="K148" s="68">
        <v>0</v>
      </c>
      <c r="L148" s="68"/>
      <c r="M148" s="68">
        <f t="shared" si="42"/>
        <v>0</v>
      </c>
      <c r="N148" s="68">
        <v>3060</v>
      </c>
      <c r="O148" s="68">
        <f t="shared" si="43"/>
        <v>3060</v>
      </c>
    </row>
    <row r="149" spans="2:15" s="36" customFormat="1" ht="42" customHeight="1">
      <c r="B149" s="3" t="s">
        <v>582</v>
      </c>
      <c r="C149" s="3" t="s">
        <v>346</v>
      </c>
      <c r="D149" s="35" t="s">
        <v>666</v>
      </c>
      <c r="E149" s="1" t="s">
        <v>228</v>
      </c>
      <c r="F149" s="1">
        <v>327</v>
      </c>
      <c r="G149" s="32">
        <v>38400</v>
      </c>
      <c r="H149" s="32">
        <v>1000</v>
      </c>
      <c r="I149" s="32">
        <f aca="true" t="shared" si="44" ref="I149:I155">G149+H149</f>
        <v>39400</v>
      </c>
      <c r="J149" s="32"/>
      <c r="K149" s="32">
        <f aca="true" t="shared" si="45" ref="K149:K156">I149+J149</f>
        <v>39400</v>
      </c>
      <c r="L149" s="32">
        <f>-5000+3400-6300-3400</f>
        <v>-11300</v>
      </c>
      <c r="M149" s="32">
        <f t="shared" si="42"/>
        <v>28100</v>
      </c>
      <c r="N149" s="77"/>
      <c r="O149" s="32">
        <f t="shared" si="43"/>
        <v>28100</v>
      </c>
    </row>
    <row r="150" spans="2:15" s="36" customFormat="1" ht="46.5" customHeight="1">
      <c r="B150" s="3" t="s">
        <v>583</v>
      </c>
      <c r="C150" s="3" t="s">
        <v>346</v>
      </c>
      <c r="D150" s="35" t="s">
        <v>287</v>
      </c>
      <c r="E150" s="1" t="s">
        <v>52</v>
      </c>
      <c r="F150" s="1">
        <v>327</v>
      </c>
      <c r="G150" s="32">
        <v>0</v>
      </c>
      <c r="H150" s="32">
        <v>341</v>
      </c>
      <c r="I150" s="32">
        <f t="shared" si="44"/>
        <v>341</v>
      </c>
      <c r="J150" s="32"/>
      <c r="K150" s="32">
        <f t="shared" si="45"/>
        <v>341</v>
      </c>
      <c r="L150" s="32"/>
      <c r="M150" s="32">
        <f t="shared" si="42"/>
        <v>341</v>
      </c>
      <c r="N150" s="32"/>
      <c r="O150" s="32">
        <f t="shared" si="43"/>
        <v>341</v>
      </c>
    </row>
    <row r="151" spans="2:15" s="36" customFormat="1" ht="29.25" customHeight="1">
      <c r="B151" s="3" t="s">
        <v>584</v>
      </c>
      <c r="C151" s="3" t="s">
        <v>346</v>
      </c>
      <c r="D151" s="35" t="s">
        <v>189</v>
      </c>
      <c r="E151" s="1" t="s">
        <v>404</v>
      </c>
      <c r="F151" s="1" t="s">
        <v>325</v>
      </c>
      <c r="G151" s="32">
        <v>0</v>
      </c>
      <c r="H151" s="32">
        <v>595.39968</v>
      </c>
      <c r="I151" s="32">
        <f t="shared" si="44"/>
        <v>595.39968</v>
      </c>
      <c r="J151" s="32"/>
      <c r="K151" s="32">
        <f t="shared" si="45"/>
        <v>595.39968</v>
      </c>
      <c r="L151" s="32"/>
      <c r="M151" s="32">
        <f t="shared" si="42"/>
        <v>595.39968</v>
      </c>
      <c r="N151" s="32"/>
      <c r="O151" s="32">
        <f t="shared" si="43"/>
        <v>595.39968</v>
      </c>
    </row>
    <row r="152" spans="2:15" s="36" customFormat="1" ht="30.75" customHeight="1">
      <c r="B152" s="3" t="s">
        <v>585</v>
      </c>
      <c r="C152" s="3" t="s">
        <v>346</v>
      </c>
      <c r="D152" s="35" t="s">
        <v>647</v>
      </c>
      <c r="E152" s="1" t="s">
        <v>405</v>
      </c>
      <c r="F152" s="1" t="s">
        <v>325</v>
      </c>
      <c r="G152" s="32">
        <v>12767.8</v>
      </c>
      <c r="H152" s="32"/>
      <c r="I152" s="32">
        <f t="shared" si="44"/>
        <v>12767.8</v>
      </c>
      <c r="J152" s="32">
        <v>164.4</v>
      </c>
      <c r="K152" s="32">
        <f t="shared" si="45"/>
        <v>12932.199999999999</v>
      </c>
      <c r="L152" s="32"/>
      <c r="M152" s="32">
        <f t="shared" si="42"/>
        <v>12932.199999999999</v>
      </c>
      <c r="N152" s="32"/>
      <c r="O152" s="32">
        <f t="shared" si="43"/>
        <v>12932.199999999999</v>
      </c>
    </row>
    <row r="153" spans="2:15" s="36" customFormat="1" ht="81" customHeight="1">
      <c r="B153" s="3" t="s">
        <v>586</v>
      </c>
      <c r="C153" s="3" t="s">
        <v>346</v>
      </c>
      <c r="D153" s="42" t="s">
        <v>5</v>
      </c>
      <c r="E153" s="1" t="s">
        <v>465</v>
      </c>
      <c r="F153" s="1">
        <v>327</v>
      </c>
      <c r="G153" s="32">
        <v>3703.1</v>
      </c>
      <c r="H153" s="32"/>
      <c r="I153" s="32">
        <f t="shared" si="44"/>
        <v>3703.1</v>
      </c>
      <c r="J153" s="32">
        <v>16.6</v>
      </c>
      <c r="K153" s="32">
        <f t="shared" si="45"/>
        <v>3719.7</v>
      </c>
      <c r="L153" s="32"/>
      <c r="M153" s="32">
        <f t="shared" si="42"/>
        <v>3719.7</v>
      </c>
      <c r="N153" s="32"/>
      <c r="O153" s="32">
        <f t="shared" si="43"/>
        <v>3719.7</v>
      </c>
    </row>
    <row r="154" spans="2:15" s="36" customFormat="1" ht="28.5" customHeight="1">
      <c r="B154" s="3" t="s">
        <v>587</v>
      </c>
      <c r="C154" s="3" t="s">
        <v>346</v>
      </c>
      <c r="D154" s="35" t="s">
        <v>320</v>
      </c>
      <c r="E154" s="1" t="s">
        <v>406</v>
      </c>
      <c r="F154" s="1" t="s">
        <v>325</v>
      </c>
      <c r="G154" s="32">
        <v>93676.4</v>
      </c>
      <c r="H154" s="32"/>
      <c r="I154" s="32">
        <f t="shared" si="44"/>
        <v>93676.4</v>
      </c>
      <c r="J154" s="32">
        <v>1482.6</v>
      </c>
      <c r="K154" s="32">
        <f t="shared" si="45"/>
        <v>95159</v>
      </c>
      <c r="L154" s="32"/>
      <c r="M154" s="32">
        <f t="shared" si="42"/>
        <v>95159</v>
      </c>
      <c r="N154" s="32"/>
      <c r="O154" s="32">
        <f t="shared" si="43"/>
        <v>95159</v>
      </c>
    </row>
    <row r="155" spans="2:15" s="36" customFormat="1" ht="21" customHeight="1">
      <c r="B155" s="3" t="s">
        <v>295</v>
      </c>
      <c r="C155" s="3" t="s">
        <v>346</v>
      </c>
      <c r="D155" s="35" t="s">
        <v>428</v>
      </c>
      <c r="E155" s="1" t="s">
        <v>406</v>
      </c>
      <c r="F155" s="1">
        <v>910</v>
      </c>
      <c r="G155" s="32">
        <v>12774</v>
      </c>
      <c r="H155" s="32"/>
      <c r="I155" s="32">
        <f t="shared" si="44"/>
        <v>12774</v>
      </c>
      <c r="J155" s="32"/>
      <c r="K155" s="32">
        <f t="shared" si="45"/>
        <v>12774</v>
      </c>
      <c r="L155" s="32"/>
      <c r="M155" s="32">
        <f t="shared" si="42"/>
        <v>12774</v>
      </c>
      <c r="N155" s="32"/>
      <c r="O155" s="32">
        <f t="shared" si="43"/>
        <v>12774</v>
      </c>
    </row>
    <row r="156" spans="2:15" s="36" customFormat="1" ht="36" customHeight="1">
      <c r="B156" s="3" t="s">
        <v>588</v>
      </c>
      <c r="C156" s="3" t="s">
        <v>346</v>
      </c>
      <c r="D156" s="29" t="s">
        <v>199</v>
      </c>
      <c r="E156" s="1" t="s">
        <v>182</v>
      </c>
      <c r="F156" s="1">
        <v>327</v>
      </c>
      <c r="G156" s="32"/>
      <c r="H156" s="32"/>
      <c r="I156" s="32"/>
      <c r="J156" s="32">
        <v>2320.4</v>
      </c>
      <c r="K156" s="32">
        <f t="shared" si="45"/>
        <v>2320.4</v>
      </c>
      <c r="L156" s="32"/>
      <c r="M156" s="32">
        <f t="shared" si="42"/>
        <v>2320.4</v>
      </c>
      <c r="N156" s="32"/>
      <c r="O156" s="32">
        <f t="shared" si="43"/>
        <v>2320.4</v>
      </c>
    </row>
    <row r="157" spans="2:15" s="36" customFormat="1" ht="33.75" customHeight="1">
      <c r="B157" s="3" t="s">
        <v>589</v>
      </c>
      <c r="C157" s="3" t="s">
        <v>346</v>
      </c>
      <c r="D157" s="29" t="s">
        <v>101</v>
      </c>
      <c r="E157" s="1" t="s">
        <v>229</v>
      </c>
      <c r="F157" s="1">
        <v>327</v>
      </c>
      <c r="G157" s="32"/>
      <c r="H157" s="32"/>
      <c r="I157" s="32"/>
      <c r="J157" s="32"/>
      <c r="K157" s="32">
        <v>0</v>
      </c>
      <c r="L157" s="32">
        <v>1220</v>
      </c>
      <c r="M157" s="32">
        <f t="shared" si="42"/>
        <v>1220</v>
      </c>
      <c r="N157" s="32"/>
      <c r="O157" s="32">
        <f t="shared" si="43"/>
        <v>1220</v>
      </c>
    </row>
    <row r="158" spans="2:15" s="36" customFormat="1" ht="30.75" customHeight="1">
      <c r="B158" s="3" t="s">
        <v>590</v>
      </c>
      <c r="C158" s="3" t="s">
        <v>346</v>
      </c>
      <c r="D158" s="35" t="s">
        <v>261</v>
      </c>
      <c r="E158" s="1" t="s">
        <v>406</v>
      </c>
      <c r="F158" s="1" t="s">
        <v>325</v>
      </c>
      <c r="G158" s="32">
        <v>4955.7</v>
      </c>
      <c r="H158" s="32"/>
      <c r="I158" s="32">
        <f aca="true" t="shared" si="46" ref="I158:I166">G158+H158</f>
        <v>4955.7</v>
      </c>
      <c r="J158" s="32">
        <v>72.5</v>
      </c>
      <c r="K158" s="32">
        <f aca="true" t="shared" si="47" ref="K158:K166">I158+J158</f>
        <v>5028.2</v>
      </c>
      <c r="L158" s="32"/>
      <c r="M158" s="32">
        <f t="shared" si="42"/>
        <v>5028.2</v>
      </c>
      <c r="N158" s="32"/>
      <c r="O158" s="32">
        <f t="shared" si="43"/>
        <v>5028.2</v>
      </c>
    </row>
    <row r="159" spans="2:15" s="36" customFormat="1" ht="40.5" customHeight="1">
      <c r="B159" s="3" t="s">
        <v>591</v>
      </c>
      <c r="C159" s="3" t="s">
        <v>346</v>
      </c>
      <c r="D159" s="35" t="s">
        <v>150</v>
      </c>
      <c r="E159" s="1" t="s">
        <v>148</v>
      </c>
      <c r="F159" s="1" t="s">
        <v>325</v>
      </c>
      <c r="G159" s="32"/>
      <c r="H159" s="32"/>
      <c r="I159" s="32">
        <f t="shared" si="46"/>
        <v>0</v>
      </c>
      <c r="J159" s="32"/>
      <c r="K159" s="32">
        <f t="shared" si="47"/>
        <v>0</v>
      </c>
      <c r="L159" s="32">
        <v>50</v>
      </c>
      <c r="M159" s="32">
        <f t="shared" si="42"/>
        <v>50</v>
      </c>
      <c r="N159" s="32"/>
      <c r="O159" s="32">
        <f t="shared" si="43"/>
        <v>50</v>
      </c>
    </row>
    <row r="160" spans="2:15" s="36" customFormat="1" ht="28.5" customHeight="1">
      <c r="B160" s="3" t="s">
        <v>592</v>
      </c>
      <c r="C160" s="3" t="s">
        <v>346</v>
      </c>
      <c r="D160" s="35" t="s">
        <v>262</v>
      </c>
      <c r="E160" s="1" t="s">
        <v>406</v>
      </c>
      <c r="F160" s="1" t="s">
        <v>325</v>
      </c>
      <c r="G160" s="32">
        <v>7961</v>
      </c>
      <c r="H160" s="32"/>
      <c r="I160" s="32">
        <f t="shared" si="46"/>
        <v>7961</v>
      </c>
      <c r="J160" s="32">
        <v>145</v>
      </c>
      <c r="K160" s="32">
        <f t="shared" si="47"/>
        <v>8106</v>
      </c>
      <c r="L160" s="32"/>
      <c r="M160" s="32">
        <f t="shared" si="42"/>
        <v>8106</v>
      </c>
      <c r="N160" s="32"/>
      <c r="O160" s="32">
        <f t="shared" si="43"/>
        <v>8106</v>
      </c>
    </row>
    <row r="161" spans="2:15" s="36" customFormat="1" ht="32.25" customHeight="1">
      <c r="B161" s="3" t="s">
        <v>593</v>
      </c>
      <c r="C161" s="3" t="s">
        <v>346</v>
      </c>
      <c r="D161" s="35" t="s">
        <v>262</v>
      </c>
      <c r="E161" s="1" t="s">
        <v>406</v>
      </c>
      <c r="F161" s="1">
        <v>910</v>
      </c>
      <c r="G161" s="32">
        <v>161.9</v>
      </c>
      <c r="H161" s="32"/>
      <c r="I161" s="32">
        <f t="shared" si="46"/>
        <v>161.9</v>
      </c>
      <c r="J161" s="32">
        <v>84</v>
      </c>
      <c r="K161" s="32">
        <f t="shared" si="47"/>
        <v>245.9</v>
      </c>
      <c r="L161" s="32"/>
      <c r="M161" s="32">
        <f t="shared" si="42"/>
        <v>245.9</v>
      </c>
      <c r="N161" s="32"/>
      <c r="O161" s="32">
        <f t="shared" si="43"/>
        <v>245.9</v>
      </c>
    </row>
    <row r="162" spans="2:15" s="36" customFormat="1" ht="34.5" customHeight="1">
      <c r="B162" s="3" t="s">
        <v>296</v>
      </c>
      <c r="C162" s="3" t="s">
        <v>346</v>
      </c>
      <c r="D162" s="35" t="s">
        <v>149</v>
      </c>
      <c r="E162" s="1" t="s">
        <v>148</v>
      </c>
      <c r="F162" s="1" t="s">
        <v>325</v>
      </c>
      <c r="G162" s="32"/>
      <c r="H162" s="32"/>
      <c r="I162" s="32">
        <f t="shared" si="46"/>
        <v>0</v>
      </c>
      <c r="J162" s="32"/>
      <c r="K162" s="32">
        <f t="shared" si="47"/>
        <v>0</v>
      </c>
      <c r="L162" s="32">
        <v>70</v>
      </c>
      <c r="M162" s="32">
        <f t="shared" si="42"/>
        <v>70</v>
      </c>
      <c r="N162" s="32"/>
      <c r="O162" s="32">
        <f t="shared" si="43"/>
        <v>70</v>
      </c>
    </row>
    <row r="163" spans="2:15" s="36" customFormat="1" ht="30.75" customHeight="1">
      <c r="B163" s="3" t="s">
        <v>594</v>
      </c>
      <c r="C163" s="3" t="s">
        <v>346</v>
      </c>
      <c r="D163" s="35" t="s">
        <v>263</v>
      </c>
      <c r="E163" s="1" t="s">
        <v>406</v>
      </c>
      <c r="F163" s="1" t="s">
        <v>325</v>
      </c>
      <c r="G163" s="32">
        <v>24614.1</v>
      </c>
      <c r="H163" s="32"/>
      <c r="I163" s="32">
        <f t="shared" si="46"/>
        <v>24614.1</v>
      </c>
      <c r="J163" s="32">
        <v>509.7</v>
      </c>
      <c r="K163" s="32">
        <f t="shared" si="47"/>
        <v>25123.8</v>
      </c>
      <c r="L163" s="32"/>
      <c r="M163" s="32">
        <f t="shared" si="42"/>
        <v>25123.8</v>
      </c>
      <c r="N163" s="32"/>
      <c r="O163" s="32">
        <f t="shared" si="43"/>
        <v>25123.8</v>
      </c>
    </row>
    <row r="164" spans="2:15" s="36" customFormat="1" ht="31.5">
      <c r="B164" s="3" t="s">
        <v>669</v>
      </c>
      <c r="C164" s="3" t="s">
        <v>346</v>
      </c>
      <c r="D164" s="35" t="s">
        <v>147</v>
      </c>
      <c r="E164" s="1" t="s">
        <v>148</v>
      </c>
      <c r="F164" s="1" t="s">
        <v>325</v>
      </c>
      <c r="G164" s="32"/>
      <c r="H164" s="32"/>
      <c r="I164" s="32">
        <f t="shared" si="46"/>
        <v>0</v>
      </c>
      <c r="J164" s="32"/>
      <c r="K164" s="32">
        <f t="shared" si="47"/>
        <v>0</v>
      </c>
      <c r="L164" s="32">
        <v>150</v>
      </c>
      <c r="M164" s="32">
        <f t="shared" si="42"/>
        <v>150</v>
      </c>
      <c r="N164" s="32"/>
      <c r="O164" s="32">
        <f t="shared" si="43"/>
        <v>150</v>
      </c>
    </row>
    <row r="165" spans="2:15" s="36" customFormat="1" ht="78.75" hidden="1">
      <c r="B165" s="3" t="s">
        <v>605</v>
      </c>
      <c r="C165" s="3" t="s">
        <v>346</v>
      </c>
      <c r="D165" s="42" t="s">
        <v>38</v>
      </c>
      <c r="E165" s="1" t="s">
        <v>439</v>
      </c>
      <c r="F165" s="1">
        <v>327</v>
      </c>
      <c r="G165" s="32"/>
      <c r="H165" s="32"/>
      <c r="I165" s="32">
        <f t="shared" si="46"/>
        <v>0</v>
      </c>
      <c r="J165" s="32"/>
      <c r="K165" s="32">
        <f t="shared" si="47"/>
        <v>0</v>
      </c>
      <c r="L165" s="32"/>
      <c r="M165" s="32">
        <f t="shared" si="42"/>
        <v>0</v>
      </c>
      <c r="N165" s="32"/>
      <c r="O165" s="32">
        <f t="shared" si="43"/>
        <v>0</v>
      </c>
    </row>
    <row r="166" spans="2:15" s="36" customFormat="1" ht="36.75" customHeight="1">
      <c r="B166" s="3" t="s">
        <v>297</v>
      </c>
      <c r="C166" s="3" t="s">
        <v>346</v>
      </c>
      <c r="D166" s="35" t="s">
        <v>666</v>
      </c>
      <c r="E166" s="1" t="s">
        <v>229</v>
      </c>
      <c r="F166" s="1">
        <v>327</v>
      </c>
      <c r="G166" s="32">
        <v>10500</v>
      </c>
      <c r="H166" s="32">
        <v>1500</v>
      </c>
      <c r="I166" s="32">
        <f t="shared" si="46"/>
        <v>12000</v>
      </c>
      <c r="J166" s="32"/>
      <c r="K166" s="32">
        <f t="shared" si="47"/>
        <v>12000</v>
      </c>
      <c r="L166" s="32">
        <v>6300</v>
      </c>
      <c r="M166" s="32">
        <f t="shared" si="42"/>
        <v>18300</v>
      </c>
      <c r="N166" s="32"/>
      <c r="O166" s="32">
        <f t="shared" si="43"/>
        <v>18300</v>
      </c>
    </row>
    <row r="167" spans="2:15" s="56" customFormat="1" ht="21" customHeight="1">
      <c r="B167" s="23" t="s">
        <v>595</v>
      </c>
      <c r="C167" s="23" t="s">
        <v>347</v>
      </c>
      <c r="D167" s="40" t="s">
        <v>348</v>
      </c>
      <c r="E167" s="21"/>
      <c r="F167" s="21"/>
      <c r="G167" s="31">
        <f>G168+G169</f>
        <v>16664.7</v>
      </c>
      <c r="H167" s="31">
        <f>H168+H169</f>
        <v>0</v>
      </c>
      <c r="I167" s="31">
        <f>I168+I169</f>
        <v>16664.7</v>
      </c>
      <c r="J167" s="31"/>
      <c r="K167" s="31">
        <f>K168+K169</f>
        <v>16664.7</v>
      </c>
      <c r="L167" s="31">
        <f>L168+L169</f>
        <v>0</v>
      </c>
      <c r="M167" s="31">
        <f>M168+M169</f>
        <v>16664.7</v>
      </c>
      <c r="N167" s="31">
        <f>N168+N169</f>
        <v>0</v>
      </c>
      <c r="O167" s="31">
        <f>O168+O169</f>
        <v>16664.7</v>
      </c>
    </row>
    <row r="168" spans="2:15" s="36" customFormat="1" ht="20.25" customHeight="1">
      <c r="B168" s="3" t="s">
        <v>596</v>
      </c>
      <c r="C168" s="3" t="s">
        <v>347</v>
      </c>
      <c r="D168" s="35" t="s">
        <v>264</v>
      </c>
      <c r="E168" s="1" t="s">
        <v>403</v>
      </c>
      <c r="F168" s="1" t="s">
        <v>379</v>
      </c>
      <c r="G168" s="32">
        <v>14264.7</v>
      </c>
      <c r="H168" s="32"/>
      <c r="I168" s="32">
        <f>G168+H168</f>
        <v>14264.7</v>
      </c>
      <c r="J168" s="32"/>
      <c r="K168" s="32">
        <f>I168+J168</f>
        <v>14264.7</v>
      </c>
      <c r="L168" s="32"/>
      <c r="M168" s="32">
        <f>K168+L168</f>
        <v>14264.7</v>
      </c>
      <c r="N168" s="32"/>
      <c r="O168" s="32">
        <f>M168+N168</f>
        <v>14264.7</v>
      </c>
    </row>
    <row r="169" spans="2:15" s="36" customFormat="1" ht="31.5" customHeight="1">
      <c r="B169" s="3" t="s">
        <v>597</v>
      </c>
      <c r="C169" s="3" t="s">
        <v>347</v>
      </c>
      <c r="D169" s="35" t="s">
        <v>30</v>
      </c>
      <c r="E169" s="1" t="s">
        <v>475</v>
      </c>
      <c r="F169" s="1">
        <v>447</v>
      </c>
      <c r="G169" s="32">
        <f>2000+400</f>
        <v>2400</v>
      </c>
      <c r="H169" s="32"/>
      <c r="I169" s="32">
        <f>G169+H169</f>
        <v>2400</v>
      </c>
      <c r="J169" s="32"/>
      <c r="K169" s="32">
        <f>I169+J169</f>
        <v>2400</v>
      </c>
      <c r="L169" s="32"/>
      <c r="M169" s="32">
        <f>K169+L169</f>
        <v>2400</v>
      </c>
      <c r="N169" s="32"/>
      <c r="O169" s="32">
        <f>M169+N169</f>
        <v>2400</v>
      </c>
    </row>
    <row r="170" spans="2:15" s="56" customFormat="1" ht="24" customHeight="1">
      <c r="B170" s="23" t="s">
        <v>298</v>
      </c>
      <c r="C170" s="23" t="s">
        <v>349</v>
      </c>
      <c r="D170" s="40" t="s">
        <v>350</v>
      </c>
      <c r="E170" s="21"/>
      <c r="F170" s="21"/>
      <c r="G170" s="31">
        <f>G171+G173+G174+G175+G176</f>
        <v>37026.200000000004</v>
      </c>
      <c r="H170" s="31">
        <f>H171+H173+H174+H175+H176</f>
        <v>-1200</v>
      </c>
      <c r="I170" s="31">
        <f>I171+I173+I174+I175+I176</f>
        <v>35826.200000000004</v>
      </c>
      <c r="J170" s="31">
        <f>J171+J173+J174+J175+J176</f>
        <v>614.6</v>
      </c>
      <c r="K170" s="31">
        <f>K171+K173+K174+K175+K176</f>
        <v>36440.8</v>
      </c>
      <c r="L170" s="31">
        <f>L171+L173+L174+L175+L176+L177+L172</f>
        <v>380</v>
      </c>
      <c r="M170" s="31">
        <f>M171+M173+M174+M175+M176+M177+M172</f>
        <v>36820.8</v>
      </c>
      <c r="N170" s="31">
        <f>N171+N173+N174+N175+N176+N177+N172</f>
        <v>0</v>
      </c>
      <c r="O170" s="31">
        <f>O171+O173+O174+O175+O176+O177+O172</f>
        <v>36820.8</v>
      </c>
    </row>
    <row r="171" spans="2:15" s="36" customFormat="1" ht="21" customHeight="1">
      <c r="B171" s="3" t="s">
        <v>598</v>
      </c>
      <c r="C171" s="3" t="s">
        <v>349</v>
      </c>
      <c r="D171" s="35" t="s">
        <v>260</v>
      </c>
      <c r="E171" s="1" t="s">
        <v>386</v>
      </c>
      <c r="F171" s="3" t="s">
        <v>412</v>
      </c>
      <c r="G171" s="32">
        <v>6980.5</v>
      </c>
      <c r="H171" s="32"/>
      <c r="I171" s="32">
        <f>G171+H171</f>
        <v>6980.5</v>
      </c>
      <c r="J171" s="32">
        <v>161.5</v>
      </c>
      <c r="K171" s="32">
        <f>I171+J171</f>
        <v>7142</v>
      </c>
      <c r="L171" s="32"/>
      <c r="M171" s="32">
        <f aca="true" t="shared" si="48" ref="M171:M177">K171+L171</f>
        <v>7142</v>
      </c>
      <c r="N171" s="32"/>
      <c r="O171" s="32">
        <f aca="true" t="shared" si="49" ref="O171:O177">M171+N171</f>
        <v>7142</v>
      </c>
    </row>
    <row r="172" spans="2:15" s="36" customFormat="1" ht="37.5" customHeight="1">
      <c r="B172" s="3" t="s">
        <v>599</v>
      </c>
      <c r="C172" s="3" t="s">
        <v>349</v>
      </c>
      <c r="D172" s="29" t="s">
        <v>101</v>
      </c>
      <c r="E172" s="1" t="s">
        <v>107</v>
      </c>
      <c r="F172" s="3" t="s">
        <v>412</v>
      </c>
      <c r="G172" s="32"/>
      <c r="H172" s="32"/>
      <c r="I172" s="32"/>
      <c r="J172" s="32"/>
      <c r="K172" s="32">
        <v>0</v>
      </c>
      <c r="L172" s="32">
        <v>245</v>
      </c>
      <c r="M172" s="32">
        <f t="shared" si="48"/>
        <v>245</v>
      </c>
      <c r="N172" s="32"/>
      <c r="O172" s="32">
        <f t="shared" si="49"/>
        <v>245</v>
      </c>
    </row>
    <row r="173" spans="2:15" s="36" customFormat="1" ht="30.75" customHeight="1">
      <c r="B173" s="3" t="s">
        <v>299</v>
      </c>
      <c r="C173" s="3" t="s">
        <v>349</v>
      </c>
      <c r="D173" s="35" t="s">
        <v>265</v>
      </c>
      <c r="E173" s="1" t="s">
        <v>462</v>
      </c>
      <c r="F173" s="1" t="s">
        <v>325</v>
      </c>
      <c r="G173" s="32">
        <v>13001.9</v>
      </c>
      <c r="H173" s="32"/>
      <c r="I173" s="32">
        <f>G173+H173</f>
        <v>13001.9</v>
      </c>
      <c r="J173" s="32">
        <v>238</v>
      </c>
      <c r="K173" s="32">
        <f>I173+J173</f>
        <v>13239.9</v>
      </c>
      <c r="L173" s="32"/>
      <c r="M173" s="32">
        <f t="shared" si="48"/>
        <v>13239.9</v>
      </c>
      <c r="N173" s="32"/>
      <c r="O173" s="32">
        <f t="shared" si="49"/>
        <v>13239.9</v>
      </c>
    </row>
    <row r="174" spans="2:15" s="36" customFormat="1" ht="30.75" customHeight="1">
      <c r="B174" s="3" t="s">
        <v>600</v>
      </c>
      <c r="C174" s="3" t="s">
        <v>349</v>
      </c>
      <c r="D174" s="35" t="s">
        <v>265</v>
      </c>
      <c r="E174" s="1" t="s">
        <v>463</v>
      </c>
      <c r="F174" s="1" t="s">
        <v>325</v>
      </c>
      <c r="G174" s="32">
        <v>15237.2</v>
      </c>
      <c r="H174" s="32"/>
      <c r="I174" s="32">
        <f>G174+H174</f>
        <v>15237.2</v>
      </c>
      <c r="J174" s="32">
        <v>215.1</v>
      </c>
      <c r="K174" s="32">
        <f>I174+J174</f>
        <v>15452.300000000001</v>
      </c>
      <c r="L174" s="32"/>
      <c r="M174" s="32">
        <f t="shared" si="48"/>
        <v>15452.300000000001</v>
      </c>
      <c r="N174" s="32"/>
      <c r="O174" s="32">
        <f t="shared" si="49"/>
        <v>15452.300000000001</v>
      </c>
    </row>
    <row r="175" spans="2:15" s="36" customFormat="1" ht="31.5">
      <c r="B175" s="3" t="s">
        <v>300</v>
      </c>
      <c r="C175" s="3" t="s">
        <v>349</v>
      </c>
      <c r="D175" s="35" t="s">
        <v>266</v>
      </c>
      <c r="E175" s="1" t="s">
        <v>402</v>
      </c>
      <c r="F175" s="1">
        <v>910</v>
      </c>
      <c r="G175" s="32">
        <v>606.6</v>
      </c>
      <c r="H175" s="32"/>
      <c r="I175" s="32">
        <f>G175+H175</f>
        <v>606.6</v>
      </c>
      <c r="J175" s="32"/>
      <c r="K175" s="32">
        <f>I175+J175</f>
        <v>606.6</v>
      </c>
      <c r="L175" s="32"/>
      <c r="M175" s="32">
        <f t="shared" si="48"/>
        <v>606.6</v>
      </c>
      <c r="N175" s="32"/>
      <c r="O175" s="32">
        <f t="shared" si="49"/>
        <v>606.6</v>
      </c>
    </row>
    <row r="176" spans="2:15" s="36" customFormat="1" ht="47.25" hidden="1">
      <c r="B176" s="3" t="s">
        <v>594</v>
      </c>
      <c r="C176" s="3" t="s">
        <v>349</v>
      </c>
      <c r="D176" s="35" t="s">
        <v>287</v>
      </c>
      <c r="E176" s="1" t="s">
        <v>284</v>
      </c>
      <c r="F176" s="1" t="s">
        <v>325</v>
      </c>
      <c r="G176" s="32">
        <v>1200</v>
      </c>
      <c r="H176" s="32">
        <v>-1200</v>
      </c>
      <c r="I176" s="32">
        <f>G176+H176</f>
        <v>0</v>
      </c>
      <c r="J176" s="32"/>
      <c r="K176" s="32">
        <f>I176+J176</f>
        <v>0</v>
      </c>
      <c r="L176" s="32"/>
      <c r="M176" s="32">
        <f t="shared" si="48"/>
        <v>0</v>
      </c>
      <c r="N176" s="32"/>
      <c r="O176" s="32">
        <f t="shared" si="49"/>
        <v>0</v>
      </c>
    </row>
    <row r="177" spans="2:15" s="36" customFormat="1" ht="36.75" customHeight="1">
      <c r="B177" s="3" t="s">
        <v>601</v>
      </c>
      <c r="C177" s="3" t="s">
        <v>349</v>
      </c>
      <c r="D177" s="29" t="s">
        <v>101</v>
      </c>
      <c r="E177" s="1" t="s">
        <v>104</v>
      </c>
      <c r="F177" s="1">
        <v>327</v>
      </c>
      <c r="G177" s="32"/>
      <c r="H177" s="32"/>
      <c r="I177" s="32"/>
      <c r="J177" s="32"/>
      <c r="K177" s="32">
        <v>0</v>
      </c>
      <c r="L177" s="32">
        <v>135</v>
      </c>
      <c r="M177" s="32">
        <f t="shared" si="48"/>
        <v>135</v>
      </c>
      <c r="N177" s="32"/>
      <c r="O177" s="32">
        <f t="shared" si="49"/>
        <v>135</v>
      </c>
    </row>
    <row r="178" spans="2:15" s="36" customFormat="1" ht="22.5" customHeight="1">
      <c r="B178" s="6" t="s">
        <v>602</v>
      </c>
      <c r="C178" s="6" t="s">
        <v>351</v>
      </c>
      <c r="D178" s="43" t="s">
        <v>352</v>
      </c>
      <c r="E178" s="7"/>
      <c r="F178" s="7"/>
      <c r="G178" s="30">
        <f aca="true" t="shared" si="50" ref="G178:O178">G179+G217</f>
        <v>128121.6</v>
      </c>
      <c r="H178" s="30">
        <f t="shared" si="50"/>
        <v>1618.7011</v>
      </c>
      <c r="I178" s="30">
        <f t="shared" si="50"/>
        <v>129740.30110000001</v>
      </c>
      <c r="J178" s="30">
        <f t="shared" si="50"/>
        <v>1766.6</v>
      </c>
      <c r="K178" s="30">
        <f t="shared" si="50"/>
        <v>131506.90110000002</v>
      </c>
      <c r="L178" s="30">
        <f t="shared" si="50"/>
        <v>-1620</v>
      </c>
      <c r="M178" s="30">
        <f t="shared" si="50"/>
        <v>129886.90110000002</v>
      </c>
      <c r="N178" s="30">
        <f t="shared" si="50"/>
        <v>107</v>
      </c>
      <c r="O178" s="30">
        <f t="shared" si="50"/>
        <v>129993.90110000002</v>
      </c>
    </row>
    <row r="179" spans="2:15" s="56" customFormat="1" ht="18.75" customHeight="1">
      <c r="B179" s="3" t="s">
        <v>603</v>
      </c>
      <c r="C179" s="23" t="s">
        <v>380</v>
      </c>
      <c r="D179" s="40" t="s">
        <v>381</v>
      </c>
      <c r="E179" s="21"/>
      <c r="F179" s="21"/>
      <c r="G179" s="31">
        <f>G180+G181+G183+G184+G186+G187+G189+G190+G192+G193+G195+G196+G198+G200+G201+G203+G204+G211+G213+G214+G209+G210+G212+G205+G215+G207+G216+G208</f>
        <v>125067.6</v>
      </c>
      <c r="H179" s="31">
        <f>H180+H181+H183+H184+H186+H187+H189+H190+H192+H193+H195+H196+H198+H200+H201+H203+H204+H211+H213+H214+H209+H210+H212+H205+H215+H207+H216+H208+H206</f>
        <v>1618.7011</v>
      </c>
      <c r="I179" s="31">
        <f>I180+I181+I183+I184+I186+I187+I189+I190+I192+I193+I195+I196+I198+I200+I201+I203+I204+I211+I213+I214+I209+I210+I212+I205+I215+I207+I216+I208+I206</f>
        <v>126686.30110000001</v>
      </c>
      <c r="J179" s="31">
        <f>J180+J181+J183+J184+J186+J187+J189+J190+J192+J193+J195+J196+J198+J200+J201+J203+J204+J211+J213+J214+J209+J210+J212+J205+J215+J207+J216+J208+J206</f>
        <v>1766.6</v>
      </c>
      <c r="K179" s="31">
        <f>K180+K181+K183+K184+K186+K187+K189+K190+K192+K193+K195+K196+K198+K200+K201+K203+K204+K211+K213+K214+K209+K210+K212+K205+K215+K207+K216+K208+K206</f>
        <v>128452.90110000002</v>
      </c>
      <c r="L179" s="31">
        <f>L180+L181+L183+L184+L186+L187+L189+L190+L192+L193+L195+L196+L198+L200+L201+L203+L204+L211+L213+L214+L209+L210+L212+L205+L215+L207+L216+L208+L206+L185+L188+L191+L194+L197+L199+L202+L182</f>
        <v>-1620</v>
      </c>
      <c r="M179" s="31">
        <f>M180+M181+M183+M184+M186+M187+M189+M190+M192+M193+M195+M196+M198+M200+M201+M203+M204+M211+M213+M214+M209+M210+M212+M205+M215+M207+M216+M208+M206+M185+M188+M191+M194+M197+M199+M202+M182</f>
        <v>126832.90110000002</v>
      </c>
      <c r="N179" s="31">
        <f>N180+N181+N183+N184+N186+N187+N189+N190+N192+N193+N195+N196+N198+N200+N201+N203+N204+N211+N213+N214+N209+N210+N212+N205+N215+N207+N216+N208+N206+N185+N188+N191+N194+N197+N199+N202+N182</f>
        <v>107</v>
      </c>
      <c r="O179" s="31">
        <f>O180+O181+O183+O184+O186+O187+O189+O190+O192+O193+O195+O196+O198+O200+O201+O203+O204+O211+O213+O214+O209+O210+O212+O205+O215+O207+O216+O208+O206+O185+O188+O191+O194+O197+O199+O202+O182</f>
        <v>126939.90110000002</v>
      </c>
    </row>
    <row r="180" spans="2:15" s="36" customFormat="1" ht="28.5" customHeight="1">
      <c r="B180" s="3" t="s">
        <v>604</v>
      </c>
      <c r="C180" s="3" t="s">
        <v>380</v>
      </c>
      <c r="D180" s="35" t="s">
        <v>110</v>
      </c>
      <c r="E180" s="1" t="s">
        <v>398</v>
      </c>
      <c r="F180" s="1" t="s">
        <v>325</v>
      </c>
      <c r="G180" s="32">
        <v>9521.8</v>
      </c>
      <c r="H180" s="32"/>
      <c r="I180" s="32">
        <f aca="true" t="shared" si="51" ref="I180:I190">G180+H180</f>
        <v>9521.8</v>
      </c>
      <c r="J180" s="32">
        <v>174.2</v>
      </c>
      <c r="K180" s="32">
        <f>I180+J180</f>
        <v>9696</v>
      </c>
      <c r="L180" s="32"/>
      <c r="M180" s="32">
        <f aca="true" t="shared" si="52" ref="M180:M216">K180+L180</f>
        <v>9696</v>
      </c>
      <c r="N180" s="32"/>
      <c r="O180" s="32">
        <f aca="true" t="shared" si="53" ref="O180:O216">M180+N180</f>
        <v>9696</v>
      </c>
    </row>
    <row r="181" spans="2:15" s="36" customFormat="1" ht="29.25" customHeight="1">
      <c r="B181" s="3" t="s">
        <v>212</v>
      </c>
      <c r="C181" s="3" t="s">
        <v>380</v>
      </c>
      <c r="D181" s="35" t="s">
        <v>110</v>
      </c>
      <c r="E181" s="1" t="s">
        <v>398</v>
      </c>
      <c r="F181" s="1">
        <v>910</v>
      </c>
      <c r="G181" s="32">
        <v>1635.2</v>
      </c>
      <c r="H181" s="32">
        <f>80+115.4</f>
        <v>195.4</v>
      </c>
      <c r="I181" s="32">
        <f t="shared" si="51"/>
        <v>1830.6000000000001</v>
      </c>
      <c r="J181" s="32">
        <v>145.1</v>
      </c>
      <c r="K181" s="32">
        <f>I181+J181</f>
        <v>1975.7</v>
      </c>
      <c r="L181" s="32"/>
      <c r="M181" s="32">
        <f t="shared" si="52"/>
        <v>1975.7</v>
      </c>
      <c r="N181" s="32"/>
      <c r="O181" s="32">
        <f t="shared" si="53"/>
        <v>1975.7</v>
      </c>
    </row>
    <row r="182" spans="2:15" s="36" customFormat="1" ht="37.5" customHeight="1">
      <c r="B182" s="3" t="s">
        <v>605</v>
      </c>
      <c r="C182" s="3" t="s">
        <v>380</v>
      </c>
      <c r="D182" s="35" t="s">
        <v>112</v>
      </c>
      <c r="E182" s="1" t="s">
        <v>230</v>
      </c>
      <c r="F182" s="1">
        <v>327</v>
      </c>
      <c r="G182" s="32">
        <v>17850</v>
      </c>
      <c r="H182" s="32">
        <v>-1240</v>
      </c>
      <c r="I182" s="32">
        <f t="shared" si="51"/>
        <v>16610</v>
      </c>
      <c r="J182" s="32"/>
      <c r="K182" s="32">
        <v>0</v>
      </c>
      <c r="L182" s="32">
        <v>2000</v>
      </c>
      <c r="M182" s="32">
        <f t="shared" si="52"/>
        <v>2000</v>
      </c>
      <c r="N182" s="32"/>
      <c r="O182" s="32">
        <f t="shared" si="53"/>
        <v>2000</v>
      </c>
    </row>
    <row r="183" spans="2:15" s="36" customFormat="1" ht="27.75" customHeight="1">
      <c r="B183" s="3" t="s">
        <v>301</v>
      </c>
      <c r="C183" s="3" t="s">
        <v>380</v>
      </c>
      <c r="D183" s="35" t="s">
        <v>646</v>
      </c>
      <c r="E183" s="1" t="s">
        <v>398</v>
      </c>
      <c r="F183" s="1" t="s">
        <v>325</v>
      </c>
      <c r="G183" s="32">
        <v>3425.7</v>
      </c>
      <c r="H183" s="32"/>
      <c r="I183" s="32">
        <f t="shared" si="51"/>
        <v>3425.7</v>
      </c>
      <c r="J183" s="32">
        <v>55.5</v>
      </c>
      <c r="K183" s="32">
        <f>I183+J183</f>
        <v>3481.2</v>
      </c>
      <c r="L183" s="32"/>
      <c r="M183" s="32">
        <f t="shared" si="52"/>
        <v>3481.2</v>
      </c>
      <c r="N183" s="32"/>
      <c r="O183" s="32">
        <f t="shared" si="53"/>
        <v>3481.2</v>
      </c>
    </row>
    <row r="184" spans="2:15" s="36" customFormat="1" ht="21" customHeight="1">
      <c r="B184" s="3" t="s">
        <v>302</v>
      </c>
      <c r="C184" s="3" t="s">
        <v>380</v>
      </c>
      <c r="D184" s="35" t="s">
        <v>646</v>
      </c>
      <c r="E184" s="1" t="s">
        <v>398</v>
      </c>
      <c r="F184" s="1">
        <v>910</v>
      </c>
      <c r="G184" s="32">
        <v>390.2</v>
      </c>
      <c r="H184" s="32"/>
      <c r="I184" s="32">
        <f t="shared" si="51"/>
        <v>390.2</v>
      </c>
      <c r="J184" s="32"/>
      <c r="K184" s="32">
        <f>I184+J184</f>
        <v>390.2</v>
      </c>
      <c r="L184" s="32"/>
      <c r="M184" s="32">
        <f t="shared" si="52"/>
        <v>390.2</v>
      </c>
      <c r="N184" s="32"/>
      <c r="O184" s="32">
        <f t="shared" si="53"/>
        <v>390.2</v>
      </c>
    </row>
    <row r="185" spans="2:15" s="36" customFormat="1" ht="31.5" customHeight="1">
      <c r="B185" s="3" t="s">
        <v>606</v>
      </c>
      <c r="C185" s="3" t="s">
        <v>380</v>
      </c>
      <c r="D185" s="35" t="s">
        <v>157</v>
      </c>
      <c r="E185" s="1" t="s">
        <v>230</v>
      </c>
      <c r="F185" s="1">
        <v>327</v>
      </c>
      <c r="G185" s="32">
        <v>17850</v>
      </c>
      <c r="H185" s="32">
        <v>-1240</v>
      </c>
      <c r="I185" s="32">
        <f t="shared" si="51"/>
        <v>16610</v>
      </c>
      <c r="J185" s="32"/>
      <c r="K185" s="32">
        <v>0</v>
      </c>
      <c r="L185" s="32">
        <v>110</v>
      </c>
      <c r="M185" s="32">
        <f t="shared" si="52"/>
        <v>110</v>
      </c>
      <c r="N185" s="32"/>
      <c r="O185" s="32">
        <f t="shared" si="53"/>
        <v>110</v>
      </c>
    </row>
    <row r="186" spans="2:15" s="36" customFormat="1" ht="27.75" customHeight="1">
      <c r="B186" s="3" t="s">
        <v>607</v>
      </c>
      <c r="C186" s="3" t="s">
        <v>380</v>
      </c>
      <c r="D186" s="35" t="s">
        <v>267</v>
      </c>
      <c r="E186" s="1" t="s">
        <v>401</v>
      </c>
      <c r="F186" s="1" t="s">
        <v>325</v>
      </c>
      <c r="G186" s="32">
        <v>6493.4</v>
      </c>
      <c r="H186" s="32"/>
      <c r="I186" s="32">
        <f t="shared" si="51"/>
        <v>6493.4</v>
      </c>
      <c r="J186" s="32">
        <v>114.6</v>
      </c>
      <c r="K186" s="32">
        <f>I186+J186</f>
        <v>6608</v>
      </c>
      <c r="L186" s="32"/>
      <c r="M186" s="32">
        <f t="shared" si="52"/>
        <v>6608</v>
      </c>
      <c r="N186" s="32"/>
      <c r="O186" s="32">
        <f t="shared" si="53"/>
        <v>6608</v>
      </c>
    </row>
    <row r="187" spans="2:15" s="36" customFormat="1" ht="24" customHeight="1">
      <c r="B187" s="3" t="s">
        <v>608</v>
      </c>
      <c r="C187" s="3" t="s">
        <v>380</v>
      </c>
      <c r="D187" s="35" t="s">
        <v>267</v>
      </c>
      <c r="E187" s="1" t="s">
        <v>401</v>
      </c>
      <c r="F187" s="1">
        <v>910</v>
      </c>
      <c r="G187" s="32">
        <v>432</v>
      </c>
      <c r="H187" s="32"/>
      <c r="I187" s="32">
        <f t="shared" si="51"/>
        <v>432</v>
      </c>
      <c r="J187" s="32"/>
      <c r="K187" s="32">
        <f>I187+J187</f>
        <v>432</v>
      </c>
      <c r="L187" s="32"/>
      <c r="M187" s="32">
        <f t="shared" si="52"/>
        <v>432</v>
      </c>
      <c r="N187" s="32"/>
      <c r="O187" s="32">
        <f t="shared" si="53"/>
        <v>432</v>
      </c>
    </row>
    <row r="188" spans="2:15" s="36" customFormat="1" ht="39.75" customHeight="1">
      <c r="B188" s="3" t="s">
        <v>609</v>
      </c>
      <c r="C188" s="3" t="s">
        <v>380</v>
      </c>
      <c r="D188" s="35" t="s">
        <v>154</v>
      </c>
      <c r="E188" s="1" t="s">
        <v>233</v>
      </c>
      <c r="F188" s="1">
        <v>327</v>
      </c>
      <c r="G188" s="32">
        <v>500</v>
      </c>
      <c r="H188" s="32"/>
      <c r="I188" s="32">
        <f t="shared" si="51"/>
        <v>500</v>
      </c>
      <c r="J188" s="32"/>
      <c r="K188" s="32">
        <v>0</v>
      </c>
      <c r="L188" s="32">
        <v>205</v>
      </c>
      <c r="M188" s="32">
        <f t="shared" si="52"/>
        <v>205</v>
      </c>
      <c r="N188" s="32"/>
      <c r="O188" s="32">
        <f t="shared" si="53"/>
        <v>205</v>
      </c>
    </row>
    <row r="189" spans="2:15" s="36" customFormat="1" ht="27" customHeight="1">
      <c r="B189" s="3" t="s">
        <v>610</v>
      </c>
      <c r="C189" s="3" t="s">
        <v>380</v>
      </c>
      <c r="D189" s="35" t="s">
        <v>323</v>
      </c>
      <c r="E189" s="1" t="s">
        <v>400</v>
      </c>
      <c r="F189" s="1" t="s">
        <v>325</v>
      </c>
      <c r="G189" s="32">
        <v>5789.3</v>
      </c>
      <c r="H189" s="32"/>
      <c r="I189" s="32">
        <f t="shared" si="51"/>
        <v>5789.3</v>
      </c>
      <c r="J189" s="32">
        <v>112.3</v>
      </c>
      <c r="K189" s="32">
        <f>I189+J189</f>
        <v>5901.6</v>
      </c>
      <c r="L189" s="32"/>
      <c r="M189" s="32">
        <f t="shared" si="52"/>
        <v>5901.6</v>
      </c>
      <c r="N189" s="32"/>
      <c r="O189" s="32">
        <f t="shared" si="53"/>
        <v>5901.6</v>
      </c>
    </row>
    <row r="190" spans="2:15" s="36" customFormat="1" ht="25.5" customHeight="1">
      <c r="B190" s="3" t="s">
        <v>611</v>
      </c>
      <c r="C190" s="3" t="s">
        <v>380</v>
      </c>
      <c r="D190" s="35" t="s">
        <v>323</v>
      </c>
      <c r="E190" s="1" t="s">
        <v>400</v>
      </c>
      <c r="F190" s="1">
        <v>910</v>
      </c>
      <c r="G190" s="32">
        <v>850</v>
      </c>
      <c r="H190" s="32">
        <v>57.1701</v>
      </c>
      <c r="I190" s="32">
        <f t="shared" si="51"/>
        <v>907.1701</v>
      </c>
      <c r="J190" s="32"/>
      <c r="K190" s="32">
        <f>I190+J190</f>
        <v>907.1701</v>
      </c>
      <c r="L190" s="32"/>
      <c r="M190" s="32">
        <f t="shared" si="52"/>
        <v>907.1701</v>
      </c>
      <c r="N190" s="32"/>
      <c r="O190" s="32">
        <f t="shared" si="53"/>
        <v>907.1701</v>
      </c>
    </row>
    <row r="191" spans="2:15" s="36" customFormat="1" ht="33.75" customHeight="1">
      <c r="B191" s="3" t="s">
        <v>303</v>
      </c>
      <c r="C191" s="3" t="s">
        <v>380</v>
      </c>
      <c r="D191" s="35" t="s">
        <v>156</v>
      </c>
      <c r="E191" s="1" t="s">
        <v>234</v>
      </c>
      <c r="F191" s="1">
        <v>327</v>
      </c>
      <c r="G191" s="32"/>
      <c r="H191" s="32"/>
      <c r="I191" s="32"/>
      <c r="J191" s="32"/>
      <c r="K191" s="32">
        <v>0</v>
      </c>
      <c r="L191" s="32">
        <v>190</v>
      </c>
      <c r="M191" s="32">
        <f t="shared" si="52"/>
        <v>190</v>
      </c>
      <c r="N191" s="32"/>
      <c r="O191" s="32">
        <f t="shared" si="53"/>
        <v>190</v>
      </c>
    </row>
    <row r="192" spans="2:15" s="36" customFormat="1" ht="30" customHeight="1">
      <c r="B192" s="3" t="s">
        <v>612</v>
      </c>
      <c r="C192" s="3" t="s">
        <v>380</v>
      </c>
      <c r="D192" s="35" t="s">
        <v>268</v>
      </c>
      <c r="E192" s="1" t="s">
        <v>400</v>
      </c>
      <c r="F192" s="1" t="s">
        <v>325</v>
      </c>
      <c r="G192" s="32">
        <v>17818.5</v>
      </c>
      <c r="H192" s="32"/>
      <c r="I192" s="32">
        <f>G192+H192</f>
        <v>17818.5</v>
      </c>
      <c r="J192" s="32">
        <v>388.4</v>
      </c>
      <c r="K192" s="32">
        <f>I192+J192</f>
        <v>18206.9</v>
      </c>
      <c r="L192" s="32"/>
      <c r="M192" s="32">
        <f t="shared" si="52"/>
        <v>18206.9</v>
      </c>
      <c r="N192" s="32"/>
      <c r="O192" s="32">
        <f t="shared" si="53"/>
        <v>18206.9</v>
      </c>
    </row>
    <row r="193" spans="2:15" s="36" customFormat="1" ht="27" customHeight="1">
      <c r="B193" s="66" t="s">
        <v>613</v>
      </c>
      <c r="C193" s="66" t="s">
        <v>380</v>
      </c>
      <c r="D193" s="74" t="s">
        <v>268</v>
      </c>
      <c r="E193" s="67" t="s">
        <v>400</v>
      </c>
      <c r="F193" s="67">
        <v>910</v>
      </c>
      <c r="G193" s="68">
        <v>2945.7</v>
      </c>
      <c r="H193" s="68">
        <v>72.7</v>
      </c>
      <c r="I193" s="68">
        <f>G193+H193</f>
        <v>3018.3999999999996</v>
      </c>
      <c r="J193" s="68"/>
      <c r="K193" s="68">
        <f>I193+J193</f>
        <v>3018.3999999999996</v>
      </c>
      <c r="L193" s="68"/>
      <c r="M193" s="68">
        <f t="shared" si="52"/>
        <v>3018.3999999999996</v>
      </c>
      <c r="N193" s="68">
        <v>107</v>
      </c>
      <c r="O193" s="68">
        <f t="shared" si="53"/>
        <v>3125.3999999999996</v>
      </c>
    </row>
    <row r="194" spans="2:15" s="36" customFormat="1" ht="36.75" customHeight="1">
      <c r="B194" s="3" t="s">
        <v>304</v>
      </c>
      <c r="C194" s="3" t="s">
        <v>380</v>
      </c>
      <c r="D194" s="35" t="s">
        <v>153</v>
      </c>
      <c r="E194" s="1" t="s">
        <v>234</v>
      </c>
      <c r="F194" s="1">
        <v>327</v>
      </c>
      <c r="G194" s="32"/>
      <c r="H194" s="32"/>
      <c r="I194" s="32"/>
      <c r="J194" s="32"/>
      <c r="K194" s="32">
        <v>0</v>
      </c>
      <c r="L194" s="32">
        <v>80</v>
      </c>
      <c r="M194" s="32">
        <f t="shared" si="52"/>
        <v>80</v>
      </c>
      <c r="N194" s="32"/>
      <c r="O194" s="32">
        <f t="shared" si="53"/>
        <v>80</v>
      </c>
    </row>
    <row r="195" spans="2:15" s="36" customFormat="1" ht="28.5" customHeight="1">
      <c r="B195" s="3" t="s">
        <v>214</v>
      </c>
      <c r="C195" s="3" t="s">
        <v>380</v>
      </c>
      <c r="D195" s="35" t="s">
        <v>330</v>
      </c>
      <c r="E195" s="1" t="s">
        <v>399</v>
      </c>
      <c r="F195" s="1" t="s">
        <v>325</v>
      </c>
      <c r="G195" s="32">
        <v>13068</v>
      </c>
      <c r="H195" s="32"/>
      <c r="I195" s="32">
        <f aca="true" t="shared" si="54" ref="I195:I216">G195+H195</f>
        <v>13068</v>
      </c>
      <c r="J195" s="32">
        <v>197.8</v>
      </c>
      <c r="K195" s="32">
        <f>I195+J195</f>
        <v>13265.8</v>
      </c>
      <c r="L195" s="32"/>
      <c r="M195" s="32">
        <f t="shared" si="52"/>
        <v>13265.8</v>
      </c>
      <c r="N195" s="32"/>
      <c r="O195" s="32">
        <f t="shared" si="53"/>
        <v>13265.8</v>
      </c>
    </row>
    <row r="196" spans="2:15" s="36" customFormat="1" ht="21" customHeight="1">
      <c r="B196" s="3" t="s">
        <v>235</v>
      </c>
      <c r="C196" s="3" t="s">
        <v>380</v>
      </c>
      <c r="D196" s="35" t="s">
        <v>330</v>
      </c>
      <c r="E196" s="1" t="s">
        <v>399</v>
      </c>
      <c r="F196" s="1">
        <v>910</v>
      </c>
      <c r="G196" s="32">
        <v>327.2</v>
      </c>
      <c r="H196" s="32"/>
      <c r="I196" s="32">
        <f t="shared" si="54"/>
        <v>327.2</v>
      </c>
      <c r="J196" s="32"/>
      <c r="K196" s="32">
        <f>I196+J196</f>
        <v>327.2</v>
      </c>
      <c r="L196" s="32"/>
      <c r="M196" s="32">
        <f t="shared" si="52"/>
        <v>327.2</v>
      </c>
      <c r="N196" s="32"/>
      <c r="O196" s="32">
        <f t="shared" si="53"/>
        <v>327.2</v>
      </c>
    </row>
    <row r="197" spans="2:15" s="36" customFormat="1" ht="37.5" customHeight="1">
      <c r="B197" s="3" t="s">
        <v>236</v>
      </c>
      <c r="C197" s="3" t="s">
        <v>380</v>
      </c>
      <c r="D197" s="35" t="s">
        <v>152</v>
      </c>
      <c r="E197" s="1" t="s">
        <v>202</v>
      </c>
      <c r="F197" s="1">
        <v>327</v>
      </c>
      <c r="G197" s="32">
        <v>17850</v>
      </c>
      <c r="H197" s="32">
        <v>-1240</v>
      </c>
      <c r="I197" s="32">
        <f t="shared" si="54"/>
        <v>16610</v>
      </c>
      <c r="J197" s="32"/>
      <c r="K197" s="32">
        <v>0</v>
      </c>
      <c r="L197" s="32">
        <v>565</v>
      </c>
      <c r="M197" s="32">
        <f t="shared" si="52"/>
        <v>565</v>
      </c>
      <c r="N197" s="32"/>
      <c r="O197" s="32">
        <f t="shared" si="53"/>
        <v>565</v>
      </c>
    </row>
    <row r="198" spans="2:15" s="36" customFormat="1" ht="24.75" customHeight="1">
      <c r="B198" s="3" t="s">
        <v>237</v>
      </c>
      <c r="C198" s="3" t="s">
        <v>380</v>
      </c>
      <c r="D198" s="35" t="s">
        <v>391</v>
      </c>
      <c r="E198" s="1" t="s">
        <v>399</v>
      </c>
      <c r="F198" s="1" t="s">
        <v>325</v>
      </c>
      <c r="G198" s="32">
        <v>6330</v>
      </c>
      <c r="H198" s="32"/>
      <c r="I198" s="32">
        <f t="shared" si="54"/>
        <v>6330</v>
      </c>
      <c r="J198" s="32">
        <v>95.2</v>
      </c>
      <c r="K198" s="32">
        <f>I198+J198</f>
        <v>6425.2</v>
      </c>
      <c r="L198" s="32"/>
      <c r="M198" s="32">
        <f t="shared" si="52"/>
        <v>6425.2</v>
      </c>
      <c r="N198" s="32"/>
      <c r="O198" s="32">
        <f t="shared" si="53"/>
        <v>6425.2</v>
      </c>
    </row>
    <row r="199" spans="2:15" s="36" customFormat="1" ht="33" customHeight="1">
      <c r="B199" s="3" t="s">
        <v>238</v>
      </c>
      <c r="C199" s="3" t="s">
        <v>380</v>
      </c>
      <c r="D199" s="35" t="s">
        <v>155</v>
      </c>
      <c r="E199" s="1" t="s">
        <v>202</v>
      </c>
      <c r="F199" s="1">
        <v>327</v>
      </c>
      <c r="G199" s="32">
        <v>17850</v>
      </c>
      <c r="H199" s="32">
        <v>-1240</v>
      </c>
      <c r="I199" s="32">
        <f t="shared" si="54"/>
        <v>16610</v>
      </c>
      <c r="J199" s="32"/>
      <c r="K199" s="32">
        <v>0</v>
      </c>
      <c r="L199" s="32">
        <v>40</v>
      </c>
      <c r="M199" s="32">
        <f t="shared" si="52"/>
        <v>40</v>
      </c>
      <c r="N199" s="32"/>
      <c r="O199" s="32">
        <f t="shared" si="53"/>
        <v>40</v>
      </c>
    </row>
    <row r="200" spans="2:15" s="36" customFormat="1" ht="28.5" customHeight="1">
      <c r="B200" s="3" t="s">
        <v>239</v>
      </c>
      <c r="C200" s="3" t="s">
        <v>380</v>
      </c>
      <c r="D200" s="35" t="s">
        <v>269</v>
      </c>
      <c r="E200" s="1" t="s">
        <v>398</v>
      </c>
      <c r="F200" s="1" t="s">
        <v>325</v>
      </c>
      <c r="G200" s="32">
        <v>15285.3</v>
      </c>
      <c r="H200" s="32"/>
      <c r="I200" s="32">
        <f t="shared" si="54"/>
        <v>15285.3</v>
      </c>
      <c r="J200" s="32">
        <v>232</v>
      </c>
      <c r="K200" s="32">
        <f>I200+J200</f>
        <v>15517.3</v>
      </c>
      <c r="L200" s="32"/>
      <c r="M200" s="32">
        <f t="shared" si="52"/>
        <v>15517.3</v>
      </c>
      <c r="N200" s="32"/>
      <c r="O200" s="32">
        <f t="shared" si="53"/>
        <v>15517.3</v>
      </c>
    </row>
    <row r="201" spans="2:15" s="36" customFormat="1" ht="26.25" customHeight="1">
      <c r="B201" s="3" t="s">
        <v>240</v>
      </c>
      <c r="C201" s="3" t="s">
        <v>380</v>
      </c>
      <c r="D201" s="35" t="s">
        <v>269</v>
      </c>
      <c r="E201" s="1" t="s">
        <v>398</v>
      </c>
      <c r="F201" s="1">
        <v>910</v>
      </c>
      <c r="G201" s="32">
        <v>2152</v>
      </c>
      <c r="H201" s="32">
        <v>7.6</v>
      </c>
      <c r="I201" s="32">
        <f t="shared" si="54"/>
        <v>2159.6</v>
      </c>
      <c r="J201" s="32"/>
      <c r="K201" s="32">
        <f>I201+J201</f>
        <v>2159.6</v>
      </c>
      <c r="L201" s="32"/>
      <c r="M201" s="32">
        <f t="shared" si="52"/>
        <v>2159.6</v>
      </c>
      <c r="N201" s="32"/>
      <c r="O201" s="32">
        <f t="shared" si="53"/>
        <v>2159.6</v>
      </c>
    </row>
    <row r="202" spans="2:15" s="36" customFormat="1" ht="36" customHeight="1">
      <c r="B202" s="3" t="s">
        <v>241</v>
      </c>
      <c r="C202" s="3" t="s">
        <v>380</v>
      </c>
      <c r="D202" s="35" t="s">
        <v>151</v>
      </c>
      <c r="E202" s="1" t="s">
        <v>230</v>
      </c>
      <c r="F202" s="1">
        <v>327</v>
      </c>
      <c r="G202" s="32">
        <v>17850</v>
      </c>
      <c r="H202" s="32">
        <v>-1240</v>
      </c>
      <c r="I202" s="32">
        <f t="shared" si="54"/>
        <v>16610</v>
      </c>
      <c r="J202" s="32"/>
      <c r="K202" s="32">
        <v>0</v>
      </c>
      <c r="L202" s="32">
        <v>100</v>
      </c>
      <c r="M202" s="32">
        <f t="shared" si="52"/>
        <v>100</v>
      </c>
      <c r="N202" s="32"/>
      <c r="O202" s="32">
        <f t="shared" si="53"/>
        <v>100</v>
      </c>
    </row>
    <row r="203" spans="2:15" s="36" customFormat="1" ht="30" customHeight="1">
      <c r="B203" s="3" t="s">
        <v>242</v>
      </c>
      <c r="C203" s="3" t="s">
        <v>380</v>
      </c>
      <c r="D203" s="35" t="s">
        <v>270</v>
      </c>
      <c r="E203" s="1" t="s">
        <v>398</v>
      </c>
      <c r="F203" s="1" t="s">
        <v>325</v>
      </c>
      <c r="G203" s="32">
        <f>15370.4+1500</f>
        <v>16870.4</v>
      </c>
      <c r="H203" s="32"/>
      <c r="I203" s="32">
        <f t="shared" si="54"/>
        <v>16870.4</v>
      </c>
      <c r="J203" s="32">
        <v>251.5</v>
      </c>
      <c r="K203" s="32">
        <f aca="true" t="shared" si="55" ref="K203:K216">I203+J203</f>
        <v>17121.9</v>
      </c>
      <c r="L203" s="32"/>
      <c r="M203" s="32">
        <f t="shared" si="52"/>
        <v>17121.9</v>
      </c>
      <c r="N203" s="32"/>
      <c r="O203" s="32">
        <f t="shared" si="53"/>
        <v>17121.9</v>
      </c>
    </row>
    <row r="204" spans="2:15" s="36" customFormat="1" ht="27" customHeight="1">
      <c r="B204" s="3" t="s">
        <v>243</v>
      </c>
      <c r="C204" s="3" t="s">
        <v>380</v>
      </c>
      <c r="D204" s="35" t="s">
        <v>270</v>
      </c>
      <c r="E204" s="1" t="s">
        <v>398</v>
      </c>
      <c r="F204" s="1">
        <v>910</v>
      </c>
      <c r="G204" s="32">
        <v>2522.9</v>
      </c>
      <c r="H204" s="32">
        <v>50</v>
      </c>
      <c r="I204" s="32">
        <f t="shared" si="54"/>
        <v>2572.9</v>
      </c>
      <c r="J204" s="32"/>
      <c r="K204" s="32">
        <f t="shared" si="55"/>
        <v>2572.9</v>
      </c>
      <c r="L204" s="32"/>
      <c r="M204" s="32">
        <f t="shared" si="52"/>
        <v>2572.9</v>
      </c>
      <c r="N204" s="32"/>
      <c r="O204" s="32">
        <f t="shared" si="53"/>
        <v>2572.9</v>
      </c>
    </row>
    <row r="205" spans="2:15" s="36" customFormat="1" ht="38.25" customHeight="1">
      <c r="B205" s="3" t="s">
        <v>244</v>
      </c>
      <c r="C205" s="3" t="s">
        <v>380</v>
      </c>
      <c r="D205" s="35" t="s">
        <v>666</v>
      </c>
      <c r="E205" s="1" t="s">
        <v>230</v>
      </c>
      <c r="F205" s="1">
        <v>327</v>
      </c>
      <c r="G205" s="32">
        <v>17850</v>
      </c>
      <c r="H205" s="32">
        <v>-1240</v>
      </c>
      <c r="I205" s="32">
        <f t="shared" si="54"/>
        <v>16610</v>
      </c>
      <c r="J205" s="32"/>
      <c r="K205" s="32">
        <f t="shared" si="55"/>
        <v>16610</v>
      </c>
      <c r="L205" s="32">
        <f>-3560-500-350</f>
        <v>-4410</v>
      </c>
      <c r="M205" s="32">
        <f t="shared" si="52"/>
        <v>12200</v>
      </c>
      <c r="N205" s="32"/>
      <c r="O205" s="32">
        <f t="shared" si="53"/>
        <v>12200</v>
      </c>
    </row>
    <row r="206" spans="2:15" s="36" customFormat="1" ht="48.75" customHeight="1">
      <c r="B206" s="3" t="s">
        <v>245</v>
      </c>
      <c r="C206" s="3" t="s">
        <v>380</v>
      </c>
      <c r="D206" s="35" t="s">
        <v>287</v>
      </c>
      <c r="E206" s="1" t="s">
        <v>39</v>
      </c>
      <c r="F206" s="1">
        <v>327</v>
      </c>
      <c r="G206" s="32">
        <v>0</v>
      </c>
      <c r="H206" s="32">
        <v>1800.831</v>
      </c>
      <c r="I206" s="32">
        <f t="shared" si="54"/>
        <v>1800.831</v>
      </c>
      <c r="J206" s="32"/>
      <c r="K206" s="32">
        <f t="shared" si="55"/>
        <v>1800.831</v>
      </c>
      <c r="L206" s="32"/>
      <c r="M206" s="32">
        <f t="shared" si="52"/>
        <v>1800.831</v>
      </c>
      <c r="N206" s="32"/>
      <c r="O206" s="32">
        <f t="shared" si="53"/>
        <v>1800.831</v>
      </c>
    </row>
    <row r="207" spans="2:15" s="36" customFormat="1" ht="48" customHeight="1" hidden="1">
      <c r="B207" s="3" t="s">
        <v>244</v>
      </c>
      <c r="C207" s="3" t="s">
        <v>380</v>
      </c>
      <c r="D207" s="35" t="s">
        <v>666</v>
      </c>
      <c r="E207" s="1" t="s">
        <v>233</v>
      </c>
      <c r="F207" s="1">
        <v>327</v>
      </c>
      <c r="G207" s="32">
        <v>500</v>
      </c>
      <c r="H207" s="32"/>
      <c r="I207" s="32">
        <f t="shared" si="54"/>
        <v>500</v>
      </c>
      <c r="J207" s="32"/>
      <c r="K207" s="32">
        <f t="shared" si="55"/>
        <v>500</v>
      </c>
      <c r="L207" s="32">
        <v>-500</v>
      </c>
      <c r="M207" s="32">
        <f t="shared" si="52"/>
        <v>0</v>
      </c>
      <c r="N207" s="32"/>
      <c r="O207" s="32">
        <f t="shared" si="53"/>
        <v>0</v>
      </c>
    </row>
    <row r="208" spans="2:15" s="36" customFormat="1" ht="34.5" customHeight="1">
      <c r="B208" s="3" t="s">
        <v>246</v>
      </c>
      <c r="C208" s="3" t="s">
        <v>380</v>
      </c>
      <c r="D208" s="35" t="s">
        <v>271</v>
      </c>
      <c r="E208" s="1" t="s">
        <v>663</v>
      </c>
      <c r="F208" s="1">
        <v>327</v>
      </c>
      <c r="G208" s="32">
        <v>10</v>
      </c>
      <c r="H208" s="32"/>
      <c r="I208" s="32">
        <f t="shared" si="54"/>
        <v>10</v>
      </c>
      <c r="J208" s="32"/>
      <c r="K208" s="32">
        <f t="shared" si="55"/>
        <v>10</v>
      </c>
      <c r="L208" s="32"/>
      <c r="M208" s="32">
        <f t="shared" si="52"/>
        <v>10</v>
      </c>
      <c r="N208" s="32"/>
      <c r="O208" s="32">
        <f t="shared" si="53"/>
        <v>10</v>
      </c>
    </row>
    <row r="209" spans="2:15" s="15" customFormat="1" ht="30.75" customHeight="1" hidden="1">
      <c r="B209" s="3" t="s">
        <v>614</v>
      </c>
      <c r="C209" s="3" t="s">
        <v>380</v>
      </c>
      <c r="D209" s="35" t="s">
        <v>625</v>
      </c>
      <c r="E209" s="1" t="s">
        <v>633</v>
      </c>
      <c r="F209" s="1">
        <v>327</v>
      </c>
      <c r="G209" s="32"/>
      <c r="H209" s="32"/>
      <c r="I209" s="32">
        <f t="shared" si="54"/>
        <v>0</v>
      </c>
      <c r="J209" s="32"/>
      <c r="K209" s="32">
        <f t="shared" si="55"/>
        <v>0</v>
      </c>
      <c r="L209" s="32"/>
      <c r="M209" s="32">
        <f t="shared" si="52"/>
        <v>0</v>
      </c>
      <c r="N209" s="32"/>
      <c r="O209" s="32">
        <f t="shared" si="53"/>
        <v>0</v>
      </c>
    </row>
    <row r="210" spans="2:15" s="36" customFormat="1" ht="48" customHeight="1">
      <c r="B210" s="3" t="s">
        <v>14</v>
      </c>
      <c r="C210" s="3" t="s">
        <v>380</v>
      </c>
      <c r="D210" s="35" t="s">
        <v>287</v>
      </c>
      <c r="E210" s="1" t="s">
        <v>285</v>
      </c>
      <c r="F210" s="1">
        <v>327</v>
      </c>
      <c r="G210" s="32">
        <v>200</v>
      </c>
      <c r="H210" s="32">
        <v>575</v>
      </c>
      <c r="I210" s="32">
        <f t="shared" si="54"/>
        <v>775</v>
      </c>
      <c r="J210" s="32"/>
      <c r="K210" s="32">
        <f t="shared" si="55"/>
        <v>775</v>
      </c>
      <c r="L210" s="32"/>
      <c r="M210" s="32">
        <f t="shared" si="52"/>
        <v>775</v>
      </c>
      <c r="N210" s="32"/>
      <c r="O210" s="32">
        <f t="shared" si="53"/>
        <v>775</v>
      </c>
    </row>
    <row r="211" spans="2:15" s="36" customFormat="1" ht="15.75" hidden="1">
      <c r="B211" s="3" t="s">
        <v>615</v>
      </c>
      <c r="C211" s="3" t="s">
        <v>380</v>
      </c>
      <c r="D211" s="35" t="s">
        <v>395</v>
      </c>
      <c r="E211" s="1" t="s">
        <v>399</v>
      </c>
      <c r="F211" s="1">
        <v>327</v>
      </c>
      <c r="G211" s="32"/>
      <c r="H211" s="32"/>
      <c r="I211" s="32">
        <f t="shared" si="54"/>
        <v>0</v>
      </c>
      <c r="J211" s="32"/>
      <c r="K211" s="32">
        <f t="shared" si="55"/>
        <v>0</v>
      </c>
      <c r="L211" s="32"/>
      <c r="M211" s="32">
        <f t="shared" si="52"/>
        <v>0</v>
      </c>
      <c r="N211" s="32"/>
      <c r="O211" s="32">
        <f t="shared" si="53"/>
        <v>0</v>
      </c>
    </row>
    <row r="212" spans="2:15" s="36" customFormat="1" ht="15.75" hidden="1">
      <c r="B212" s="3" t="s">
        <v>616</v>
      </c>
      <c r="C212" s="3" t="s">
        <v>380</v>
      </c>
      <c r="D212" s="35" t="s">
        <v>639</v>
      </c>
      <c r="E212" s="1" t="s">
        <v>638</v>
      </c>
      <c r="F212" s="1">
        <v>327</v>
      </c>
      <c r="G212" s="32"/>
      <c r="H212" s="32"/>
      <c r="I212" s="32">
        <f t="shared" si="54"/>
        <v>0</v>
      </c>
      <c r="J212" s="32"/>
      <c r="K212" s="32">
        <f t="shared" si="55"/>
        <v>0</v>
      </c>
      <c r="L212" s="32"/>
      <c r="M212" s="32">
        <f t="shared" si="52"/>
        <v>0</v>
      </c>
      <c r="N212" s="32"/>
      <c r="O212" s="32">
        <f t="shared" si="53"/>
        <v>0</v>
      </c>
    </row>
    <row r="213" spans="2:15" s="36" customFormat="1" ht="15.75" hidden="1">
      <c r="B213" s="3" t="s">
        <v>617</v>
      </c>
      <c r="C213" s="3" t="s">
        <v>380</v>
      </c>
      <c r="D213" s="35" t="s">
        <v>395</v>
      </c>
      <c r="E213" s="1" t="s">
        <v>400</v>
      </c>
      <c r="F213" s="1" t="s">
        <v>325</v>
      </c>
      <c r="G213" s="32"/>
      <c r="H213" s="32"/>
      <c r="I213" s="32">
        <f t="shared" si="54"/>
        <v>0</v>
      </c>
      <c r="J213" s="32"/>
      <c r="K213" s="32">
        <f t="shared" si="55"/>
        <v>0</v>
      </c>
      <c r="L213" s="32"/>
      <c r="M213" s="32">
        <f t="shared" si="52"/>
        <v>0</v>
      </c>
      <c r="N213" s="32"/>
      <c r="O213" s="32">
        <f t="shared" si="53"/>
        <v>0</v>
      </c>
    </row>
    <row r="214" spans="2:15" s="36" customFormat="1" ht="15.75" hidden="1">
      <c r="B214" s="3" t="s">
        <v>618</v>
      </c>
      <c r="C214" s="3" t="s">
        <v>380</v>
      </c>
      <c r="D214" s="35" t="s">
        <v>480</v>
      </c>
      <c r="E214" s="1" t="s">
        <v>481</v>
      </c>
      <c r="F214" s="1" t="s">
        <v>325</v>
      </c>
      <c r="G214" s="32"/>
      <c r="H214" s="32"/>
      <c r="I214" s="32">
        <f t="shared" si="54"/>
        <v>0</v>
      </c>
      <c r="J214" s="32"/>
      <c r="K214" s="32">
        <f t="shared" si="55"/>
        <v>0</v>
      </c>
      <c r="L214" s="32"/>
      <c r="M214" s="32">
        <f t="shared" si="52"/>
        <v>0</v>
      </c>
      <c r="N214" s="32"/>
      <c r="O214" s="32">
        <f t="shared" si="53"/>
        <v>0</v>
      </c>
    </row>
    <row r="215" spans="2:15" s="36" customFormat="1" ht="36.75" customHeight="1">
      <c r="B215" s="3" t="s">
        <v>15</v>
      </c>
      <c r="C215" s="3" t="s">
        <v>380</v>
      </c>
      <c r="D215" s="35" t="s">
        <v>666</v>
      </c>
      <c r="E215" s="1" t="s">
        <v>202</v>
      </c>
      <c r="F215" s="1">
        <v>327</v>
      </c>
      <c r="G215" s="32">
        <v>400</v>
      </c>
      <c r="H215" s="32">
        <v>100</v>
      </c>
      <c r="I215" s="32">
        <f t="shared" si="54"/>
        <v>500</v>
      </c>
      <c r="J215" s="32"/>
      <c r="K215" s="32">
        <f t="shared" si="55"/>
        <v>500</v>
      </c>
      <c r="L215" s="32"/>
      <c r="M215" s="32">
        <f t="shared" si="52"/>
        <v>500</v>
      </c>
      <c r="N215" s="32"/>
      <c r="O215" s="32">
        <f t="shared" si="53"/>
        <v>500</v>
      </c>
    </row>
    <row r="216" spans="2:15" s="36" customFormat="1" ht="36" customHeight="1">
      <c r="B216" s="3" t="s">
        <v>16</v>
      </c>
      <c r="C216" s="3" t="s">
        <v>380</v>
      </c>
      <c r="D216" s="35" t="s">
        <v>666</v>
      </c>
      <c r="E216" s="1" t="s">
        <v>234</v>
      </c>
      <c r="F216" s="1">
        <v>327</v>
      </c>
      <c r="G216" s="32">
        <v>250</v>
      </c>
      <c r="H216" s="32"/>
      <c r="I216" s="32">
        <f t="shared" si="54"/>
        <v>250</v>
      </c>
      <c r="J216" s="32"/>
      <c r="K216" s="32">
        <f t="shared" si="55"/>
        <v>250</v>
      </c>
      <c r="L216" s="32"/>
      <c r="M216" s="32">
        <f t="shared" si="52"/>
        <v>250</v>
      </c>
      <c r="N216" s="32"/>
      <c r="O216" s="32">
        <f t="shared" si="53"/>
        <v>250</v>
      </c>
    </row>
    <row r="217" spans="2:15" s="56" customFormat="1" ht="21" customHeight="1">
      <c r="B217" s="23" t="s">
        <v>17</v>
      </c>
      <c r="C217" s="23" t="s">
        <v>362</v>
      </c>
      <c r="D217" s="40" t="s">
        <v>326</v>
      </c>
      <c r="E217" s="22"/>
      <c r="F217" s="22"/>
      <c r="G217" s="31">
        <f aca="true" t="shared" si="56" ref="G217:O217">G218</f>
        <v>3054</v>
      </c>
      <c r="H217" s="31">
        <f t="shared" si="56"/>
        <v>0</v>
      </c>
      <c r="I217" s="31">
        <f t="shared" si="56"/>
        <v>3054</v>
      </c>
      <c r="J217" s="31">
        <f t="shared" si="56"/>
        <v>0</v>
      </c>
      <c r="K217" s="31">
        <f t="shared" si="56"/>
        <v>3054</v>
      </c>
      <c r="L217" s="31">
        <f t="shared" si="56"/>
        <v>0</v>
      </c>
      <c r="M217" s="31">
        <f t="shared" si="56"/>
        <v>3054</v>
      </c>
      <c r="N217" s="31">
        <f t="shared" si="56"/>
        <v>0</v>
      </c>
      <c r="O217" s="31">
        <f t="shared" si="56"/>
        <v>3054</v>
      </c>
    </row>
    <row r="218" spans="2:15" s="36" customFormat="1" ht="141.75" customHeight="1">
      <c r="B218" s="3" t="s">
        <v>40</v>
      </c>
      <c r="C218" s="3" t="s">
        <v>362</v>
      </c>
      <c r="D218" s="42" t="s">
        <v>25</v>
      </c>
      <c r="E218" s="1" t="s">
        <v>440</v>
      </c>
      <c r="F218" s="1" t="s">
        <v>382</v>
      </c>
      <c r="G218" s="32">
        <v>3054</v>
      </c>
      <c r="H218" s="32"/>
      <c r="I218" s="32">
        <f>G218+H218</f>
        <v>3054</v>
      </c>
      <c r="J218" s="32"/>
      <c r="K218" s="32">
        <f>I218+J218</f>
        <v>3054</v>
      </c>
      <c r="L218" s="32"/>
      <c r="M218" s="32">
        <f>K218+L218</f>
        <v>3054</v>
      </c>
      <c r="N218" s="32"/>
      <c r="O218" s="32">
        <f>M218+N218</f>
        <v>3054</v>
      </c>
    </row>
    <row r="219" spans="2:15" s="5" customFormat="1" ht="20.25" customHeight="1">
      <c r="B219" s="6" t="s">
        <v>41</v>
      </c>
      <c r="C219" s="6" t="s">
        <v>353</v>
      </c>
      <c r="D219" s="43" t="s">
        <v>410</v>
      </c>
      <c r="E219" s="7"/>
      <c r="F219" s="7"/>
      <c r="G219" s="30">
        <f aca="true" t="shared" si="57" ref="G219:O219">G220+G237+G245</f>
        <v>159455</v>
      </c>
      <c r="H219" s="30">
        <f t="shared" si="57"/>
        <v>3344.63246</v>
      </c>
      <c r="I219" s="30">
        <f t="shared" si="57"/>
        <v>162799.63246</v>
      </c>
      <c r="J219" s="30">
        <f t="shared" si="57"/>
        <v>4538.5</v>
      </c>
      <c r="K219" s="30">
        <f t="shared" si="57"/>
        <v>167338.13246</v>
      </c>
      <c r="L219" s="30">
        <f t="shared" si="57"/>
        <v>-1550</v>
      </c>
      <c r="M219" s="30">
        <f t="shared" si="57"/>
        <v>165788.13246</v>
      </c>
      <c r="N219" s="30">
        <f t="shared" si="57"/>
        <v>0</v>
      </c>
      <c r="O219" s="30">
        <f t="shared" si="57"/>
        <v>165788.13246</v>
      </c>
    </row>
    <row r="220" spans="2:15" s="55" customFormat="1" ht="21" customHeight="1">
      <c r="B220" s="23" t="s">
        <v>42</v>
      </c>
      <c r="C220" s="23" t="s">
        <v>354</v>
      </c>
      <c r="D220" s="40" t="s">
        <v>324</v>
      </c>
      <c r="E220" s="21"/>
      <c r="F220" s="21"/>
      <c r="G220" s="31">
        <f>G221+G233+G234+G222+G223+G225+G226</f>
        <v>96297</v>
      </c>
      <c r="H220" s="31">
        <f>H221+H233+H234+H222+H223+H225+H226+H227</f>
        <v>1516.40024</v>
      </c>
      <c r="I220" s="31">
        <f>I221+I233+I234+I222+I223+I225+I226+I227</f>
        <v>97813.40024</v>
      </c>
      <c r="J220" s="31">
        <f>J221+J233+J234+J222+J223+J225+J226+J227+J231+J232+J235+J228+J229</f>
        <v>4490</v>
      </c>
      <c r="K220" s="31">
        <f>K221+K233+K234+K222+K223+K225+K226+K227+K231+K232+K235+K228+K229</f>
        <v>102303.40024</v>
      </c>
      <c r="L220" s="31">
        <f>L221+L233+L234+L222+L223+L225+L226+L227+L231+L232+L235+L228+L229+L224+L230</f>
        <v>150</v>
      </c>
      <c r="M220" s="31">
        <f>M221+M233+M234+M222+M223+M225+M226+M227+M231+M232+M235+M228+M229+M224+M230</f>
        <v>102453.40024</v>
      </c>
      <c r="N220" s="31">
        <f>N221+N233+N234+N222+N223+N225+N226+N227+N231+N232+N235+N228+N229+N224+N230+N236</f>
        <v>0</v>
      </c>
      <c r="O220" s="31">
        <f>O221+O233+O234+O222+O223+O225+O226+O227+O231+O232+O235+O228+O229+O224+O230+O236</f>
        <v>102453.40024</v>
      </c>
    </row>
    <row r="221" spans="2:15" s="58" customFormat="1" ht="29.25" customHeight="1">
      <c r="B221" s="3" t="s">
        <v>43</v>
      </c>
      <c r="C221" s="3" t="s">
        <v>354</v>
      </c>
      <c r="D221" s="29" t="s">
        <v>60</v>
      </c>
      <c r="E221" s="1" t="s">
        <v>429</v>
      </c>
      <c r="F221" s="1">
        <v>455</v>
      </c>
      <c r="G221" s="32">
        <v>86407</v>
      </c>
      <c r="H221" s="32"/>
      <c r="I221" s="32">
        <f>G221+H221</f>
        <v>86407</v>
      </c>
      <c r="J221" s="32">
        <v>-60</v>
      </c>
      <c r="K221" s="32">
        <f>I221+J221</f>
        <v>86347</v>
      </c>
      <c r="L221" s="32">
        <v>-705</v>
      </c>
      <c r="M221" s="32">
        <f aca="true" t="shared" si="58" ref="M221:M235">K221+L221</f>
        <v>85642</v>
      </c>
      <c r="N221" s="32">
        <v>-35</v>
      </c>
      <c r="O221" s="32">
        <f aca="true" t="shared" si="59" ref="O221:O236">M221+N221</f>
        <v>85607</v>
      </c>
    </row>
    <row r="222" spans="2:15" s="58" customFormat="1" ht="78.75" customHeight="1">
      <c r="B222" s="3" t="s">
        <v>44</v>
      </c>
      <c r="C222" s="3" t="s">
        <v>354</v>
      </c>
      <c r="D222" s="29" t="s">
        <v>31</v>
      </c>
      <c r="E222" s="1" t="s">
        <v>441</v>
      </c>
      <c r="F222" s="1">
        <v>455</v>
      </c>
      <c r="G222" s="32">
        <v>390</v>
      </c>
      <c r="H222" s="32"/>
      <c r="I222" s="32">
        <f>G222+H222</f>
        <v>390</v>
      </c>
      <c r="J222" s="32"/>
      <c r="K222" s="32">
        <f>I222+J222</f>
        <v>390</v>
      </c>
      <c r="L222" s="32"/>
      <c r="M222" s="32">
        <f t="shared" si="58"/>
        <v>390</v>
      </c>
      <c r="N222" s="32"/>
      <c r="O222" s="32">
        <f t="shared" si="59"/>
        <v>390</v>
      </c>
    </row>
    <row r="223" spans="2:15" s="58" customFormat="1" ht="48.75" customHeight="1">
      <c r="B223" s="3" t="s">
        <v>45</v>
      </c>
      <c r="C223" s="3" t="s">
        <v>354</v>
      </c>
      <c r="D223" s="91" t="s">
        <v>0</v>
      </c>
      <c r="E223" s="1" t="s">
        <v>473</v>
      </c>
      <c r="F223" s="1">
        <v>455</v>
      </c>
      <c r="G223" s="32">
        <v>0</v>
      </c>
      <c r="H223" s="32">
        <v>305.1</v>
      </c>
      <c r="I223" s="32">
        <f>G223+H223</f>
        <v>305.1</v>
      </c>
      <c r="J223" s="32"/>
      <c r="K223" s="32">
        <f>I223+J223</f>
        <v>305.1</v>
      </c>
      <c r="L223" s="32"/>
      <c r="M223" s="32">
        <f t="shared" si="58"/>
        <v>305.1</v>
      </c>
      <c r="N223" s="32"/>
      <c r="O223" s="32">
        <f t="shared" si="59"/>
        <v>305.1</v>
      </c>
    </row>
    <row r="224" spans="2:15" s="58" customFormat="1" ht="49.5" customHeight="1">
      <c r="B224" s="3" t="s">
        <v>376</v>
      </c>
      <c r="C224" s="3" t="s">
        <v>354</v>
      </c>
      <c r="D224" s="29" t="s">
        <v>32</v>
      </c>
      <c r="E224" s="1" t="s">
        <v>115</v>
      </c>
      <c r="F224" s="1">
        <v>455</v>
      </c>
      <c r="G224" s="32"/>
      <c r="H224" s="32"/>
      <c r="I224" s="32"/>
      <c r="J224" s="32"/>
      <c r="K224" s="32">
        <v>0</v>
      </c>
      <c r="L224" s="32">
        <v>705</v>
      </c>
      <c r="M224" s="32">
        <f t="shared" si="58"/>
        <v>705</v>
      </c>
      <c r="N224" s="32"/>
      <c r="O224" s="32">
        <f t="shared" si="59"/>
        <v>705</v>
      </c>
    </row>
    <row r="225" spans="2:15" s="58" customFormat="1" ht="30" customHeight="1">
      <c r="B225" s="3" t="s">
        <v>46</v>
      </c>
      <c r="C225" s="3" t="s">
        <v>354</v>
      </c>
      <c r="D225" s="29" t="s">
        <v>190</v>
      </c>
      <c r="E225" s="1" t="s">
        <v>635</v>
      </c>
      <c r="F225" s="1">
        <v>327</v>
      </c>
      <c r="G225" s="32">
        <v>0</v>
      </c>
      <c r="H225" s="32">
        <v>211.30024</v>
      </c>
      <c r="I225" s="32">
        <f>G225+H225</f>
        <v>211.30024</v>
      </c>
      <c r="J225" s="32"/>
      <c r="K225" s="32">
        <f>I225+J225</f>
        <v>211.30024</v>
      </c>
      <c r="L225" s="32"/>
      <c r="M225" s="32">
        <f t="shared" si="58"/>
        <v>211.30024</v>
      </c>
      <c r="N225" s="32"/>
      <c r="O225" s="32">
        <f t="shared" si="59"/>
        <v>211.30024</v>
      </c>
    </row>
    <row r="226" spans="2:15" s="58" customFormat="1" ht="31.5" hidden="1">
      <c r="B226" s="3" t="s">
        <v>46</v>
      </c>
      <c r="C226" s="3" t="s">
        <v>354</v>
      </c>
      <c r="D226" s="35" t="s">
        <v>666</v>
      </c>
      <c r="E226" s="1" t="s">
        <v>231</v>
      </c>
      <c r="F226" s="1">
        <v>327</v>
      </c>
      <c r="G226" s="32">
        <v>8000</v>
      </c>
      <c r="H226" s="32">
        <v>-7000</v>
      </c>
      <c r="I226" s="32">
        <f>G226+H226</f>
        <v>1000</v>
      </c>
      <c r="J226" s="32"/>
      <c r="K226" s="32">
        <f>I226+J226</f>
        <v>1000</v>
      </c>
      <c r="L226" s="32">
        <v>-1000</v>
      </c>
      <c r="M226" s="32">
        <f t="shared" si="58"/>
        <v>0</v>
      </c>
      <c r="N226" s="32"/>
      <c r="O226" s="32">
        <f t="shared" si="59"/>
        <v>0</v>
      </c>
    </row>
    <row r="227" spans="2:15" s="58" customFormat="1" ht="47.25">
      <c r="B227" s="3" t="s">
        <v>47</v>
      </c>
      <c r="C227" s="3" t="s">
        <v>354</v>
      </c>
      <c r="D227" s="35" t="s">
        <v>287</v>
      </c>
      <c r="E227" s="1" t="s">
        <v>81</v>
      </c>
      <c r="F227" s="1">
        <v>327</v>
      </c>
      <c r="G227" s="32">
        <v>0</v>
      </c>
      <c r="H227" s="32">
        <v>8000</v>
      </c>
      <c r="I227" s="32">
        <f>G227+H227</f>
        <v>8000</v>
      </c>
      <c r="J227" s="32"/>
      <c r="K227" s="32">
        <f>I227+J227</f>
        <v>8000</v>
      </c>
      <c r="L227" s="32"/>
      <c r="M227" s="32">
        <f t="shared" si="58"/>
        <v>8000</v>
      </c>
      <c r="N227" s="32"/>
      <c r="O227" s="32">
        <f t="shared" si="59"/>
        <v>8000</v>
      </c>
    </row>
    <row r="228" spans="2:15" s="58" customFormat="1" ht="47.25" customHeight="1">
      <c r="B228" s="3" t="s">
        <v>72</v>
      </c>
      <c r="C228" s="3" t="s">
        <v>354</v>
      </c>
      <c r="D228" s="35" t="s">
        <v>158</v>
      </c>
      <c r="E228" s="1" t="s">
        <v>195</v>
      </c>
      <c r="F228" s="1">
        <v>327</v>
      </c>
      <c r="G228" s="32">
        <v>0</v>
      </c>
      <c r="H228" s="32">
        <v>8000</v>
      </c>
      <c r="I228" s="32">
        <v>0</v>
      </c>
      <c r="J228" s="32">
        <v>1000</v>
      </c>
      <c r="K228" s="32">
        <f>I228+J228</f>
        <v>1000</v>
      </c>
      <c r="L228" s="32"/>
      <c r="M228" s="32">
        <f t="shared" si="58"/>
        <v>1000</v>
      </c>
      <c r="N228" s="32"/>
      <c r="O228" s="32">
        <f t="shared" si="59"/>
        <v>1000</v>
      </c>
    </row>
    <row r="229" spans="2:15" s="58" customFormat="1" ht="63.75" customHeight="1">
      <c r="B229" s="3" t="s">
        <v>73</v>
      </c>
      <c r="C229" s="3" t="s">
        <v>354</v>
      </c>
      <c r="D229" s="35" t="s">
        <v>34</v>
      </c>
      <c r="E229" s="1" t="s">
        <v>91</v>
      </c>
      <c r="F229" s="1">
        <v>327</v>
      </c>
      <c r="G229" s="32">
        <v>0</v>
      </c>
      <c r="H229" s="32">
        <v>8000</v>
      </c>
      <c r="I229" s="32">
        <v>0</v>
      </c>
      <c r="J229" s="32">
        <v>60</v>
      </c>
      <c r="K229" s="32">
        <f>I229+J229</f>
        <v>60</v>
      </c>
      <c r="L229" s="32"/>
      <c r="M229" s="32">
        <f t="shared" si="58"/>
        <v>60</v>
      </c>
      <c r="N229" s="32"/>
      <c r="O229" s="32">
        <f t="shared" si="59"/>
        <v>60</v>
      </c>
    </row>
    <row r="230" spans="2:15" s="58" customFormat="1" ht="34.5" customHeight="1">
      <c r="B230" s="3" t="s">
        <v>74</v>
      </c>
      <c r="C230" s="3" t="s">
        <v>354</v>
      </c>
      <c r="D230" s="35" t="s">
        <v>666</v>
      </c>
      <c r="E230" s="1" t="s">
        <v>117</v>
      </c>
      <c r="F230" s="1">
        <v>327</v>
      </c>
      <c r="G230" s="32"/>
      <c r="H230" s="32"/>
      <c r="I230" s="32"/>
      <c r="J230" s="32"/>
      <c r="K230" s="32">
        <v>0</v>
      </c>
      <c r="L230" s="32">
        <v>1150</v>
      </c>
      <c r="M230" s="32">
        <f t="shared" si="58"/>
        <v>1150</v>
      </c>
      <c r="N230" s="32"/>
      <c r="O230" s="32">
        <f t="shared" si="59"/>
        <v>1150</v>
      </c>
    </row>
    <row r="231" spans="2:15" s="58" customFormat="1" ht="37.5" customHeight="1">
      <c r="B231" s="3" t="s">
        <v>75</v>
      </c>
      <c r="C231" s="3" t="s">
        <v>354</v>
      </c>
      <c r="D231" s="35" t="s">
        <v>99</v>
      </c>
      <c r="E231" s="1" t="s">
        <v>194</v>
      </c>
      <c r="F231" s="1">
        <v>327</v>
      </c>
      <c r="G231" s="32"/>
      <c r="H231" s="32"/>
      <c r="I231" s="32"/>
      <c r="J231" s="32">
        <v>1360</v>
      </c>
      <c r="K231" s="32">
        <f aca="true" t="shared" si="60" ref="K231:K236">I231+J231</f>
        <v>1360</v>
      </c>
      <c r="L231" s="32"/>
      <c r="M231" s="32">
        <f t="shared" si="58"/>
        <v>1360</v>
      </c>
      <c r="N231" s="32"/>
      <c r="O231" s="32">
        <f t="shared" si="59"/>
        <v>1360</v>
      </c>
    </row>
    <row r="232" spans="2:15" s="58" customFormat="1" ht="41.25" customHeight="1">
      <c r="B232" s="3" t="s">
        <v>614</v>
      </c>
      <c r="C232" s="3" t="s">
        <v>354</v>
      </c>
      <c r="D232" s="35" t="s">
        <v>99</v>
      </c>
      <c r="E232" s="1" t="s">
        <v>192</v>
      </c>
      <c r="F232" s="1">
        <v>327</v>
      </c>
      <c r="G232" s="32"/>
      <c r="H232" s="32"/>
      <c r="I232" s="32"/>
      <c r="J232" s="32">
        <v>1330</v>
      </c>
      <c r="K232" s="32">
        <f t="shared" si="60"/>
        <v>1330</v>
      </c>
      <c r="L232" s="32"/>
      <c r="M232" s="32">
        <f t="shared" si="58"/>
        <v>1330</v>
      </c>
      <c r="N232" s="32"/>
      <c r="O232" s="32">
        <f t="shared" si="59"/>
        <v>1330</v>
      </c>
    </row>
    <row r="233" spans="2:15" s="58" customFormat="1" ht="31.5">
      <c r="B233" s="3" t="s">
        <v>77</v>
      </c>
      <c r="C233" s="3" t="s">
        <v>354</v>
      </c>
      <c r="D233" s="35" t="s">
        <v>272</v>
      </c>
      <c r="E233" s="1" t="s">
        <v>433</v>
      </c>
      <c r="F233" s="1">
        <v>327</v>
      </c>
      <c r="G233" s="32">
        <v>400</v>
      </c>
      <c r="H233" s="32"/>
      <c r="I233" s="32">
        <f>G233+H233</f>
        <v>400</v>
      </c>
      <c r="J233" s="32"/>
      <c r="K233" s="32">
        <f t="shared" si="60"/>
        <v>400</v>
      </c>
      <c r="L233" s="32"/>
      <c r="M233" s="32">
        <f t="shared" si="58"/>
        <v>400</v>
      </c>
      <c r="N233" s="32"/>
      <c r="O233" s="32">
        <f t="shared" si="59"/>
        <v>400</v>
      </c>
    </row>
    <row r="234" spans="2:15" s="58" customFormat="1" ht="31.5">
      <c r="B234" s="3" t="s">
        <v>615</v>
      </c>
      <c r="C234" s="3" t="s">
        <v>354</v>
      </c>
      <c r="D234" s="35" t="s">
        <v>273</v>
      </c>
      <c r="E234" s="1" t="s">
        <v>434</v>
      </c>
      <c r="F234" s="1">
        <v>327</v>
      </c>
      <c r="G234" s="32">
        <v>1100</v>
      </c>
      <c r="H234" s="32"/>
      <c r="I234" s="32">
        <f>G234+H234</f>
        <v>1100</v>
      </c>
      <c r="J234" s="32"/>
      <c r="K234" s="32">
        <f t="shared" si="60"/>
        <v>1100</v>
      </c>
      <c r="L234" s="32"/>
      <c r="M234" s="32">
        <f t="shared" si="58"/>
        <v>1100</v>
      </c>
      <c r="N234" s="32"/>
      <c r="O234" s="32">
        <f t="shared" si="59"/>
        <v>1100</v>
      </c>
    </row>
    <row r="235" spans="2:15" s="58" customFormat="1" ht="36.75" customHeight="1">
      <c r="B235" s="3" t="s">
        <v>616</v>
      </c>
      <c r="C235" s="3" t="s">
        <v>354</v>
      </c>
      <c r="D235" s="35" t="s">
        <v>99</v>
      </c>
      <c r="E235" s="1" t="s">
        <v>193</v>
      </c>
      <c r="F235" s="1">
        <v>327</v>
      </c>
      <c r="G235" s="32"/>
      <c r="H235" s="32"/>
      <c r="I235" s="32"/>
      <c r="J235" s="32">
        <v>800</v>
      </c>
      <c r="K235" s="32">
        <f t="shared" si="60"/>
        <v>800</v>
      </c>
      <c r="L235" s="32"/>
      <c r="M235" s="32">
        <f t="shared" si="58"/>
        <v>800</v>
      </c>
      <c r="N235" s="32"/>
      <c r="O235" s="32">
        <f t="shared" si="59"/>
        <v>800</v>
      </c>
    </row>
    <row r="236" spans="2:15" s="58" customFormat="1" ht="36.75" customHeight="1">
      <c r="B236" s="66" t="s">
        <v>617</v>
      </c>
      <c r="C236" s="66" t="s">
        <v>354</v>
      </c>
      <c r="D236" s="74" t="s">
        <v>273</v>
      </c>
      <c r="E236" s="67" t="s">
        <v>670</v>
      </c>
      <c r="F236" s="67">
        <v>327</v>
      </c>
      <c r="G236" s="68">
        <v>1100</v>
      </c>
      <c r="H236" s="68"/>
      <c r="I236" s="68">
        <f>G236+H236</f>
        <v>1100</v>
      </c>
      <c r="J236" s="68"/>
      <c r="K236" s="68">
        <f t="shared" si="60"/>
        <v>1100</v>
      </c>
      <c r="L236" s="68"/>
      <c r="M236" s="68">
        <v>0</v>
      </c>
      <c r="N236" s="68">
        <v>35</v>
      </c>
      <c r="O236" s="68">
        <f t="shared" si="59"/>
        <v>35</v>
      </c>
    </row>
    <row r="237" spans="2:15" s="58" customFormat="1" ht="21" customHeight="1">
      <c r="B237" s="45" t="s">
        <v>618</v>
      </c>
      <c r="C237" s="45" t="s">
        <v>355</v>
      </c>
      <c r="D237" s="46" t="s">
        <v>356</v>
      </c>
      <c r="E237" s="13"/>
      <c r="F237" s="13"/>
      <c r="G237" s="33">
        <f>+G238+G241+G242+G243+G244</f>
        <v>56600</v>
      </c>
      <c r="H237" s="33">
        <f>+H238+H241+H242+H243+H244</f>
        <v>1828.23222</v>
      </c>
      <c r="I237" s="33">
        <f>+I238+I241+I242+I243+I244</f>
        <v>58428.23222</v>
      </c>
      <c r="J237" s="33">
        <f>+J238+J241+J242+J243+J244+J239</f>
        <v>4075</v>
      </c>
      <c r="K237" s="33">
        <f>+K238+K241+K242+K243+K244+K239</f>
        <v>62503.23222</v>
      </c>
      <c r="L237" s="33">
        <f>+L238+L241+L242+L243+L244+L239+L240</f>
        <v>-1700</v>
      </c>
      <c r="M237" s="33">
        <f>+M238+M241+M242+M243+M244+M239+M240</f>
        <v>60803.23222</v>
      </c>
      <c r="N237" s="33">
        <f>+N238+N241+N242+N243+N244+N239+N240</f>
        <v>0</v>
      </c>
      <c r="O237" s="33">
        <f>+O238+O241+O242+O243+O244+O239+O240</f>
        <v>60803.23222</v>
      </c>
    </row>
    <row r="238" spans="2:15" s="58" customFormat="1" ht="79.5" customHeight="1">
      <c r="B238" s="3" t="s">
        <v>411</v>
      </c>
      <c r="C238" s="3" t="s">
        <v>355</v>
      </c>
      <c r="D238" s="42" t="s">
        <v>7</v>
      </c>
      <c r="E238" s="1" t="s">
        <v>221</v>
      </c>
      <c r="F238" s="3" t="s">
        <v>430</v>
      </c>
      <c r="G238" s="32">
        <v>32000</v>
      </c>
      <c r="H238" s="32"/>
      <c r="I238" s="32">
        <f>G238+H238</f>
        <v>32000</v>
      </c>
      <c r="J238" s="32"/>
      <c r="K238" s="32">
        <f>I238+J238</f>
        <v>32000</v>
      </c>
      <c r="L238" s="32"/>
      <c r="M238" s="32">
        <f aca="true" t="shared" si="61" ref="M238:M244">K238+L238</f>
        <v>32000</v>
      </c>
      <c r="N238" s="32"/>
      <c r="O238" s="32">
        <f aca="true" t="shared" si="62" ref="O238:O244">M238+N238</f>
        <v>32000</v>
      </c>
    </row>
    <row r="239" spans="2:15" s="58" customFormat="1" ht="33.75" customHeight="1">
      <c r="B239" s="3" t="s">
        <v>162</v>
      </c>
      <c r="C239" s="3" t="s">
        <v>355</v>
      </c>
      <c r="D239" s="35" t="s">
        <v>328</v>
      </c>
      <c r="E239" s="1" t="s">
        <v>93</v>
      </c>
      <c r="F239" s="3" t="s">
        <v>430</v>
      </c>
      <c r="G239" s="32">
        <v>4075</v>
      </c>
      <c r="H239" s="32"/>
      <c r="I239" s="32">
        <v>0</v>
      </c>
      <c r="J239" s="32">
        <v>4075</v>
      </c>
      <c r="K239" s="32">
        <f>I239+J239</f>
        <v>4075</v>
      </c>
      <c r="L239" s="32"/>
      <c r="M239" s="32">
        <f t="shared" si="61"/>
        <v>4075</v>
      </c>
      <c r="N239" s="32"/>
      <c r="O239" s="32">
        <f t="shared" si="62"/>
        <v>4075</v>
      </c>
    </row>
    <row r="240" spans="2:15" s="58" customFormat="1" ht="40.5" customHeight="1">
      <c r="B240" s="3" t="s">
        <v>163</v>
      </c>
      <c r="C240" s="3" t="s">
        <v>355</v>
      </c>
      <c r="D240" s="35" t="s">
        <v>109</v>
      </c>
      <c r="E240" s="1" t="s">
        <v>232</v>
      </c>
      <c r="F240" s="1">
        <v>327</v>
      </c>
      <c r="G240" s="32"/>
      <c r="H240" s="32"/>
      <c r="I240" s="32"/>
      <c r="J240" s="32"/>
      <c r="K240" s="32">
        <v>0</v>
      </c>
      <c r="L240" s="32">
        <v>100</v>
      </c>
      <c r="M240" s="32">
        <f t="shared" si="61"/>
        <v>100</v>
      </c>
      <c r="N240" s="32"/>
      <c r="O240" s="32">
        <f t="shared" si="62"/>
        <v>100</v>
      </c>
    </row>
    <row r="241" spans="1:15" s="60" customFormat="1" ht="34.5" customHeight="1">
      <c r="A241" s="59"/>
      <c r="B241" s="3" t="s">
        <v>35</v>
      </c>
      <c r="C241" s="3" t="s">
        <v>355</v>
      </c>
      <c r="D241" s="35" t="s">
        <v>191</v>
      </c>
      <c r="E241" s="1" t="s">
        <v>431</v>
      </c>
      <c r="F241" s="1">
        <v>327</v>
      </c>
      <c r="G241" s="32">
        <v>0</v>
      </c>
      <c r="H241" s="32">
        <v>1628.23222</v>
      </c>
      <c r="I241" s="32">
        <f>G241+H241</f>
        <v>1628.23222</v>
      </c>
      <c r="J241" s="32"/>
      <c r="K241" s="32">
        <f>I241+J241</f>
        <v>1628.23222</v>
      </c>
      <c r="L241" s="32"/>
      <c r="M241" s="32">
        <f t="shared" si="61"/>
        <v>1628.23222</v>
      </c>
      <c r="N241" s="32"/>
      <c r="O241" s="32">
        <f t="shared" si="62"/>
        <v>1628.23222</v>
      </c>
    </row>
    <row r="242" spans="1:15" s="60" customFormat="1" ht="15.75" customHeight="1" hidden="1">
      <c r="A242" s="59"/>
      <c r="B242" s="3" t="s">
        <v>619</v>
      </c>
      <c r="C242" s="3" t="s">
        <v>355</v>
      </c>
      <c r="D242" s="35" t="s">
        <v>480</v>
      </c>
      <c r="E242" s="1" t="s">
        <v>482</v>
      </c>
      <c r="F242" s="1">
        <v>327</v>
      </c>
      <c r="G242" s="32"/>
      <c r="H242" s="32"/>
      <c r="I242" s="32">
        <f>G242+H242</f>
        <v>0</v>
      </c>
      <c r="J242" s="32"/>
      <c r="K242" s="32">
        <f>I242+J242</f>
        <v>0</v>
      </c>
      <c r="L242" s="32"/>
      <c r="M242" s="32">
        <f t="shared" si="61"/>
        <v>0</v>
      </c>
      <c r="N242" s="32"/>
      <c r="O242" s="32">
        <f t="shared" si="62"/>
        <v>0</v>
      </c>
    </row>
    <row r="243" spans="2:15" s="61" customFormat="1" ht="47.25">
      <c r="B243" s="3" t="s">
        <v>164</v>
      </c>
      <c r="C243" s="3" t="s">
        <v>355</v>
      </c>
      <c r="D243" s="35" t="s">
        <v>287</v>
      </c>
      <c r="E243" s="1" t="s">
        <v>286</v>
      </c>
      <c r="F243" s="1">
        <v>327</v>
      </c>
      <c r="G243" s="32">
        <v>2500</v>
      </c>
      <c r="H243" s="32">
        <v>-500</v>
      </c>
      <c r="I243" s="32">
        <f>G243+H243</f>
        <v>2000</v>
      </c>
      <c r="J243" s="32"/>
      <c r="K243" s="32">
        <f>I243+J243</f>
        <v>2000</v>
      </c>
      <c r="L243" s="32"/>
      <c r="M243" s="32">
        <f t="shared" si="61"/>
        <v>2000</v>
      </c>
      <c r="N243" s="32"/>
      <c r="O243" s="32">
        <f t="shared" si="62"/>
        <v>2000</v>
      </c>
    </row>
    <row r="244" spans="2:15" s="61" customFormat="1" ht="48" customHeight="1">
      <c r="B244" s="3" t="s">
        <v>165</v>
      </c>
      <c r="C244" s="3" t="s">
        <v>355</v>
      </c>
      <c r="D244" s="35" t="s">
        <v>666</v>
      </c>
      <c r="E244" s="1" t="s">
        <v>232</v>
      </c>
      <c r="F244" s="1">
        <v>327</v>
      </c>
      <c r="G244" s="32">
        <v>22100</v>
      </c>
      <c r="H244" s="32">
        <v>700</v>
      </c>
      <c r="I244" s="32">
        <f>G244+H244</f>
        <v>22800</v>
      </c>
      <c r="J244" s="32"/>
      <c r="K244" s="32">
        <f>I244+J244</f>
        <v>22800</v>
      </c>
      <c r="L244" s="32">
        <f>-100-1700</f>
        <v>-1800</v>
      </c>
      <c r="M244" s="32">
        <f t="shared" si="61"/>
        <v>21000</v>
      </c>
      <c r="N244" s="32"/>
      <c r="O244" s="32">
        <f t="shared" si="62"/>
        <v>21000</v>
      </c>
    </row>
    <row r="245" spans="2:15" s="58" customFormat="1" ht="21" customHeight="1">
      <c r="B245" s="45" t="s">
        <v>166</v>
      </c>
      <c r="C245" s="45" t="s">
        <v>458</v>
      </c>
      <c r="D245" s="46" t="s">
        <v>459</v>
      </c>
      <c r="E245" s="13"/>
      <c r="F245" s="13"/>
      <c r="G245" s="33">
        <f aca="true" t="shared" si="63" ref="G245:O245">G246+G247</f>
        <v>6558</v>
      </c>
      <c r="H245" s="33">
        <f t="shared" si="63"/>
        <v>0</v>
      </c>
      <c r="I245" s="33">
        <f t="shared" si="63"/>
        <v>6558</v>
      </c>
      <c r="J245" s="33">
        <f t="shared" si="63"/>
        <v>-4026.5</v>
      </c>
      <c r="K245" s="33">
        <f t="shared" si="63"/>
        <v>2531.5</v>
      </c>
      <c r="L245" s="33">
        <f t="shared" si="63"/>
        <v>0</v>
      </c>
      <c r="M245" s="33">
        <f t="shared" si="63"/>
        <v>2531.5</v>
      </c>
      <c r="N245" s="33">
        <f t="shared" si="63"/>
        <v>0</v>
      </c>
      <c r="O245" s="33">
        <f t="shared" si="63"/>
        <v>2531.5</v>
      </c>
    </row>
    <row r="246" spans="2:15" s="58" customFormat="1" ht="30.75" customHeight="1">
      <c r="B246" s="3" t="s">
        <v>167</v>
      </c>
      <c r="C246" s="3" t="s">
        <v>458</v>
      </c>
      <c r="D246" s="35" t="s">
        <v>328</v>
      </c>
      <c r="E246" s="1" t="s">
        <v>386</v>
      </c>
      <c r="F246" s="3" t="s">
        <v>412</v>
      </c>
      <c r="G246" s="32">
        <v>2483</v>
      </c>
      <c r="H246" s="32"/>
      <c r="I246" s="32">
        <f>G246+H246</f>
        <v>2483</v>
      </c>
      <c r="J246" s="32">
        <v>48.5</v>
      </c>
      <c r="K246" s="32">
        <f>I246+J246</f>
        <v>2531.5</v>
      </c>
      <c r="L246" s="32"/>
      <c r="M246" s="32">
        <f>K246+L246</f>
        <v>2531.5</v>
      </c>
      <c r="N246" s="32"/>
      <c r="O246" s="32">
        <f>M246+N246</f>
        <v>2531.5</v>
      </c>
    </row>
    <row r="247" spans="2:15" s="58" customFormat="1" ht="15.75" hidden="1">
      <c r="B247" s="3" t="s">
        <v>167</v>
      </c>
      <c r="C247" s="3" t="s">
        <v>458</v>
      </c>
      <c r="D247" s="35" t="s">
        <v>328</v>
      </c>
      <c r="E247" s="1" t="s">
        <v>631</v>
      </c>
      <c r="F247" s="3" t="s">
        <v>430</v>
      </c>
      <c r="G247" s="32">
        <v>4075</v>
      </c>
      <c r="H247" s="32"/>
      <c r="I247" s="32">
        <f>G247+H247</f>
        <v>4075</v>
      </c>
      <c r="J247" s="32">
        <v>-4075</v>
      </c>
      <c r="K247" s="32">
        <f>I247+J247</f>
        <v>0</v>
      </c>
      <c r="L247" s="32"/>
      <c r="M247" s="32">
        <f>K247+L247</f>
        <v>0</v>
      </c>
      <c r="N247" s="32"/>
      <c r="O247" s="32">
        <f>M247+N247</f>
        <v>0</v>
      </c>
    </row>
    <row r="248" spans="2:15" s="5" customFormat="1" ht="24" customHeight="1">
      <c r="B248" s="6" t="s">
        <v>168</v>
      </c>
      <c r="C248" s="6" t="s">
        <v>359</v>
      </c>
      <c r="D248" s="43" t="s">
        <v>311</v>
      </c>
      <c r="E248" s="7"/>
      <c r="F248" s="7"/>
      <c r="G248" s="30">
        <f>G251+G256+G280</f>
        <v>348029.73470000003</v>
      </c>
      <c r="H248" s="30">
        <f>H251+H256+H280</f>
        <v>25641.12126</v>
      </c>
      <c r="I248" s="30">
        <f>I251+I256+I280</f>
        <v>373670.85595999996</v>
      </c>
      <c r="J248" s="30">
        <f>J251+J256+J280</f>
        <v>12383.800000000001</v>
      </c>
      <c r="K248" s="30">
        <f>K251+K256+K280</f>
        <v>386054.65596</v>
      </c>
      <c r="L248" s="30">
        <f>L251+L256+L280+L249</f>
        <v>0</v>
      </c>
      <c r="M248" s="30">
        <f>M251+M256+M280+M249</f>
        <v>386054.65596</v>
      </c>
      <c r="N248" s="30">
        <f>N251+N256+N280+N249</f>
        <v>-6697.67</v>
      </c>
      <c r="O248" s="30">
        <f>O251+O256+O280+O249</f>
        <v>379356.98596</v>
      </c>
    </row>
    <row r="249" spans="2:15" s="5" customFormat="1" ht="24" customHeight="1">
      <c r="B249" s="23" t="s">
        <v>169</v>
      </c>
      <c r="C249" s="23" t="s">
        <v>102</v>
      </c>
      <c r="D249" s="90" t="s">
        <v>103</v>
      </c>
      <c r="E249" s="25"/>
      <c r="F249" s="25"/>
      <c r="G249" s="70"/>
      <c r="H249" s="70"/>
      <c r="I249" s="70"/>
      <c r="J249" s="70"/>
      <c r="K249" s="31">
        <f>K250</f>
        <v>0</v>
      </c>
      <c r="L249" s="31">
        <f>L250</f>
        <v>2940</v>
      </c>
      <c r="M249" s="31">
        <f>M250</f>
        <v>2940</v>
      </c>
      <c r="N249" s="31">
        <f>N250</f>
        <v>0</v>
      </c>
      <c r="O249" s="31">
        <f>O250</f>
        <v>2940</v>
      </c>
    </row>
    <row r="250" spans="2:15" s="5" customFormat="1" ht="46.5" customHeight="1">
      <c r="B250" s="3" t="s">
        <v>170</v>
      </c>
      <c r="C250" s="3" t="s">
        <v>102</v>
      </c>
      <c r="D250" s="48" t="s">
        <v>665</v>
      </c>
      <c r="E250" s="73" t="s">
        <v>111</v>
      </c>
      <c r="F250" s="73">
        <v>714</v>
      </c>
      <c r="G250" s="30"/>
      <c r="H250" s="30"/>
      <c r="I250" s="30"/>
      <c r="J250" s="30"/>
      <c r="K250" s="32">
        <f>I250+J250</f>
        <v>0</v>
      </c>
      <c r="L250" s="32">
        <v>2940</v>
      </c>
      <c r="M250" s="32">
        <f>K250+L250</f>
        <v>2940</v>
      </c>
      <c r="N250" s="32"/>
      <c r="O250" s="32">
        <f>M250+N250</f>
        <v>2940</v>
      </c>
    </row>
    <row r="251" spans="2:15" s="55" customFormat="1" ht="21" customHeight="1">
      <c r="B251" s="23" t="s">
        <v>171</v>
      </c>
      <c r="C251" s="23" t="s">
        <v>360</v>
      </c>
      <c r="D251" s="47" t="s">
        <v>446</v>
      </c>
      <c r="E251" s="25"/>
      <c r="F251" s="25"/>
      <c r="G251" s="31">
        <f aca="true" t="shared" si="64" ref="G251:O251">G252+G253+G254+G255</f>
        <v>9861.9</v>
      </c>
      <c r="H251" s="31">
        <f t="shared" si="64"/>
        <v>0.9211899999999957</v>
      </c>
      <c r="I251" s="31">
        <f t="shared" si="64"/>
        <v>9862.821189999999</v>
      </c>
      <c r="J251" s="31">
        <f t="shared" si="64"/>
        <v>195.5</v>
      </c>
      <c r="K251" s="31">
        <f t="shared" si="64"/>
        <v>10058.321189999999</v>
      </c>
      <c r="L251" s="31">
        <f t="shared" si="64"/>
        <v>0</v>
      </c>
      <c r="M251" s="31">
        <f t="shared" si="64"/>
        <v>10058.321189999999</v>
      </c>
      <c r="N251" s="31">
        <f t="shared" si="64"/>
        <v>0</v>
      </c>
      <c r="O251" s="31">
        <f t="shared" si="64"/>
        <v>10058.321189999999</v>
      </c>
    </row>
    <row r="252" spans="2:15" s="5" customFormat="1" ht="78.75" customHeight="1" hidden="1">
      <c r="B252" s="3" t="s">
        <v>620</v>
      </c>
      <c r="C252" s="3" t="s">
        <v>360</v>
      </c>
      <c r="D252" s="42" t="s">
        <v>247</v>
      </c>
      <c r="E252" s="1" t="s">
        <v>447</v>
      </c>
      <c r="F252" s="1">
        <v>327</v>
      </c>
      <c r="G252" s="32"/>
      <c r="H252" s="32"/>
      <c r="I252" s="32"/>
      <c r="J252" s="32"/>
      <c r="K252" s="32"/>
      <c r="L252" s="32"/>
      <c r="M252" s="32"/>
      <c r="N252" s="32"/>
      <c r="O252" s="32"/>
    </row>
    <row r="253" spans="2:15" s="5" customFormat="1" ht="18.75" customHeight="1">
      <c r="B253" s="3" t="s">
        <v>172</v>
      </c>
      <c r="C253" s="3" t="s">
        <v>360</v>
      </c>
      <c r="D253" s="29" t="s">
        <v>274</v>
      </c>
      <c r="E253" s="1" t="s">
        <v>484</v>
      </c>
      <c r="F253" s="1">
        <v>910</v>
      </c>
      <c r="G253" s="32">
        <v>409.9</v>
      </c>
      <c r="H253" s="32"/>
      <c r="I253" s="32">
        <f>G253+H253</f>
        <v>409.9</v>
      </c>
      <c r="J253" s="32"/>
      <c r="K253" s="32">
        <f>I253+J253</f>
        <v>409.9</v>
      </c>
      <c r="L253" s="32"/>
      <c r="M253" s="32">
        <f>K253+L253</f>
        <v>409.9</v>
      </c>
      <c r="N253" s="32"/>
      <c r="O253" s="32">
        <f>M253+N253</f>
        <v>409.9</v>
      </c>
    </row>
    <row r="254" spans="2:15" s="5" customFormat="1" ht="65.25" customHeight="1">
      <c r="B254" s="3" t="s">
        <v>173</v>
      </c>
      <c r="C254" s="3" t="s">
        <v>360</v>
      </c>
      <c r="D254" s="64" t="s">
        <v>275</v>
      </c>
      <c r="E254" s="1" t="s">
        <v>448</v>
      </c>
      <c r="F254" s="1">
        <v>327</v>
      </c>
      <c r="G254" s="32">
        <v>8296.4</v>
      </c>
      <c r="H254" s="32">
        <v>-83.547</v>
      </c>
      <c r="I254" s="32">
        <f>G254+H254</f>
        <v>8212.853</v>
      </c>
      <c r="J254" s="32">
        <v>172</v>
      </c>
      <c r="K254" s="32">
        <f>I254+J254</f>
        <v>8384.853</v>
      </c>
      <c r="L254" s="32"/>
      <c r="M254" s="32">
        <f>K254+L254</f>
        <v>8384.853</v>
      </c>
      <c r="N254" s="32"/>
      <c r="O254" s="32">
        <f>M254+N254</f>
        <v>8384.853</v>
      </c>
    </row>
    <row r="255" spans="2:15" s="5" customFormat="1" ht="62.25" customHeight="1">
      <c r="B255" s="3" t="s">
        <v>619</v>
      </c>
      <c r="C255" s="3" t="s">
        <v>360</v>
      </c>
      <c r="D255" s="64" t="s">
        <v>276</v>
      </c>
      <c r="E255" s="1" t="s">
        <v>448</v>
      </c>
      <c r="F255" s="1">
        <v>327</v>
      </c>
      <c r="G255" s="32">
        <v>1155.6</v>
      </c>
      <c r="H255" s="32">
        <f>83.547+0.92119</f>
        <v>84.46818999999999</v>
      </c>
      <c r="I255" s="32">
        <f>G255+H255</f>
        <v>1240.06819</v>
      </c>
      <c r="J255" s="32">
        <v>23.5</v>
      </c>
      <c r="K255" s="32">
        <f>I255+J255</f>
        <v>1263.56819</v>
      </c>
      <c r="L255" s="32"/>
      <c r="M255" s="32">
        <f>K255+L255</f>
        <v>1263.56819</v>
      </c>
      <c r="N255" s="32"/>
      <c r="O255" s="32">
        <f>M255+N255</f>
        <v>1263.56819</v>
      </c>
    </row>
    <row r="256" spans="1:15" s="53" customFormat="1" ht="24" customHeight="1">
      <c r="A256" s="27"/>
      <c r="B256" s="23" t="s">
        <v>174</v>
      </c>
      <c r="C256" s="23" t="s">
        <v>361</v>
      </c>
      <c r="D256" s="40" t="s">
        <v>425</v>
      </c>
      <c r="E256" s="21"/>
      <c r="F256" s="21"/>
      <c r="G256" s="31">
        <f>G257+G258+G259+G271+G260+G261+G262+G263+G264+G269+G270+G265+G266+G267+G272+G273+G268+G274</f>
        <v>309445.6</v>
      </c>
      <c r="H256" s="31">
        <f>H257+H258+H259+H271+H260+H261+H262+H263+H264+H269+H270+H265+H266+H267+H272+H273+H268+H274+H275+H276</f>
        <v>24515.5</v>
      </c>
      <c r="I256" s="31">
        <f>I257+I258+I259+I271+I260+I261+I262+I263+I264+I269+I270+I265+I266+I267+I272+I273+I268+I274+I275+I276</f>
        <v>333961.1</v>
      </c>
      <c r="J256" s="31">
        <f aca="true" t="shared" si="65" ref="J256:O256">J257+J258+J259+J271+J260+J261+J262+J263+J264+J269+J270+J265+J266+J267+J272+J273+J268+J274+J275+J276+J277+J278+J279</f>
        <v>-8405.499999999998</v>
      </c>
      <c r="K256" s="31">
        <f t="shared" si="65"/>
        <v>325555.60000000003</v>
      </c>
      <c r="L256" s="31">
        <f t="shared" si="65"/>
        <v>0</v>
      </c>
      <c r="M256" s="31">
        <f t="shared" si="65"/>
        <v>325555.60000000003</v>
      </c>
      <c r="N256" s="31">
        <f t="shared" si="65"/>
        <v>-6758.4</v>
      </c>
      <c r="O256" s="31">
        <f t="shared" si="65"/>
        <v>318797.2</v>
      </c>
    </row>
    <row r="257" spans="1:15" s="60" customFormat="1" ht="78.75" customHeight="1">
      <c r="A257" s="59"/>
      <c r="B257" s="3" t="s">
        <v>175</v>
      </c>
      <c r="C257" s="3" t="s">
        <v>361</v>
      </c>
      <c r="D257" s="48" t="s">
        <v>130</v>
      </c>
      <c r="E257" s="1" t="s">
        <v>629</v>
      </c>
      <c r="F257" s="1">
        <v>572</v>
      </c>
      <c r="G257" s="32">
        <v>116704</v>
      </c>
      <c r="H257" s="32"/>
      <c r="I257" s="32">
        <f aca="true" t="shared" si="66" ref="I257:I276">G257+H257</f>
        <v>116704</v>
      </c>
      <c r="J257" s="32"/>
      <c r="K257" s="32">
        <f aca="true" t="shared" si="67" ref="K257:K279">I257+J257</f>
        <v>116704</v>
      </c>
      <c r="L257" s="32"/>
      <c r="M257" s="32">
        <f aca="true" t="shared" si="68" ref="M257:M279">K257+L257</f>
        <v>116704</v>
      </c>
      <c r="N257" s="32"/>
      <c r="O257" s="32">
        <f aca="true" t="shared" si="69" ref="O257:O279">M257+N257</f>
        <v>116704</v>
      </c>
    </row>
    <row r="258" spans="2:15" s="58" customFormat="1" ht="79.5" customHeight="1">
      <c r="B258" s="3" t="s">
        <v>176</v>
      </c>
      <c r="C258" s="3" t="s">
        <v>361</v>
      </c>
      <c r="D258" s="48" t="s">
        <v>61</v>
      </c>
      <c r="E258" s="1" t="s">
        <v>630</v>
      </c>
      <c r="F258" s="1">
        <v>483</v>
      </c>
      <c r="G258" s="32">
        <v>768.3</v>
      </c>
      <c r="H258" s="32"/>
      <c r="I258" s="32">
        <f t="shared" si="66"/>
        <v>768.3</v>
      </c>
      <c r="J258" s="32"/>
      <c r="K258" s="32">
        <f t="shared" si="67"/>
        <v>768.3</v>
      </c>
      <c r="L258" s="32"/>
      <c r="M258" s="32">
        <f t="shared" si="68"/>
        <v>768.3</v>
      </c>
      <c r="N258" s="32"/>
      <c r="O258" s="32">
        <f t="shared" si="69"/>
        <v>768.3</v>
      </c>
    </row>
    <row r="259" spans="2:15" s="58" customFormat="1" ht="63" customHeight="1">
      <c r="B259" s="3" t="s">
        <v>177</v>
      </c>
      <c r="C259" s="3" t="s">
        <v>361</v>
      </c>
      <c r="D259" s="35" t="s">
        <v>129</v>
      </c>
      <c r="E259" s="1" t="s">
        <v>474</v>
      </c>
      <c r="F259" s="1">
        <v>483</v>
      </c>
      <c r="G259" s="32">
        <v>105</v>
      </c>
      <c r="H259" s="32"/>
      <c r="I259" s="32">
        <f t="shared" si="66"/>
        <v>105</v>
      </c>
      <c r="J259" s="32"/>
      <c r="K259" s="32">
        <f t="shared" si="67"/>
        <v>105</v>
      </c>
      <c r="L259" s="32"/>
      <c r="M259" s="32">
        <f t="shared" si="68"/>
        <v>105</v>
      </c>
      <c r="N259" s="32"/>
      <c r="O259" s="32">
        <f t="shared" si="69"/>
        <v>105</v>
      </c>
    </row>
    <row r="260" spans="2:15" s="58" customFormat="1" ht="114.75" customHeight="1">
      <c r="B260" s="3" t="s">
        <v>71</v>
      </c>
      <c r="C260" s="3" t="s">
        <v>361</v>
      </c>
      <c r="D260" s="42" t="s">
        <v>62</v>
      </c>
      <c r="E260" s="1" t="s">
        <v>467</v>
      </c>
      <c r="F260" s="1">
        <v>483</v>
      </c>
      <c r="G260" s="32">
        <v>367</v>
      </c>
      <c r="H260" s="32"/>
      <c r="I260" s="32">
        <f t="shared" si="66"/>
        <v>367</v>
      </c>
      <c r="J260" s="32"/>
      <c r="K260" s="32">
        <f t="shared" si="67"/>
        <v>367</v>
      </c>
      <c r="L260" s="32"/>
      <c r="M260" s="32">
        <f t="shared" si="68"/>
        <v>367</v>
      </c>
      <c r="N260" s="32"/>
      <c r="O260" s="32">
        <f t="shared" si="69"/>
        <v>367</v>
      </c>
    </row>
    <row r="261" spans="2:15" s="58" customFormat="1" ht="111.75" customHeight="1">
      <c r="B261" s="3" t="s">
        <v>178</v>
      </c>
      <c r="C261" s="3" t="s">
        <v>361</v>
      </c>
      <c r="D261" s="42" t="s">
        <v>128</v>
      </c>
      <c r="E261" s="1" t="s">
        <v>468</v>
      </c>
      <c r="F261" s="1">
        <v>496</v>
      </c>
      <c r="G261" s="32">
        <v>442.2</v>
      </c>
      <c r="H261" s="32"/>
      <c r="I261" s="32">
        <f t="shared" si="66"/>
        <v>442.2</v>
      </c>
      <c r="J261" s="32"/>
      <c r="K261" s="32">
        <f t="shared" si="67"/>
        <v>442.2</v>
      </c>
      <c r="L261" s="32"/>
      <c r="M261" s="32">
        <f t="shared" si="68"/>
        <v>442.2</v>
      </c>
      <c r="N261" s="32"/>
      <c r="O261" s="32">
        <f t="shared" si="69"/>
        <v>442.2</v>
      </c>
    </row>
    <row r="262" spans="2:15" s="58" customFormat="1" ht="81" customHeight="1">
      <c r="B262" s="3" t="s">
        <v>179</v>
      </c>
      <c r="C262" s="3" t="s">
        <v>361</v>
      </c>
      <c r="D262" s="42" t="s">
        <v>127</v>
      </c>
      <c r="E262" s="1" t="s">
        <v>469</v>
      </c>
      <c r="F262" s="1">
        <v>749</v>
      </c>
      <c r="G262" s="32">
        <v>22157.7</v>
      </c>
      <c r="H262" s="32"/>
      <c r="I262" s="32">
        <f t="shared" si="66"/>
        <v>22157.7</v>
      </c>
      <c r="J262" s="32"/>
      <c r="K262" s="32">
        <f t="shared" si="67"/>
        <v>22157.7</v>
      </c>
      <c r="L262" s="32"/>
      <c r="M262" s="32">
        <f t="shared" si="68"/>
        <v>22157.7</v>
      </c>
      <c r="N262" s="32"/>
      <c r="O262" s="32">
        <f t="shared" si="69"/>
        <v>22157.7</v>
      </c>
    </row>
    <row r="263" spans="1:15" s="60" customFormat="1" ht="110.25" customHeight="1">
      <c r="A263" s="59"/>
      <c r="B263" s="3" t="s">
        <v>180</v>
      </c>
      <c r="C263" s="3" t="s">
        <v>361</v>
      </c>
      <c r="D263" s="42" t="s">
        <v>126</v>
      </c>
      <c r="E263" s="1" t="s">
        <v>658</v>
      </c>
      <c r="F263" s="1">
        <v>494</v>
      </c>
      <c r="G263" s="32">
        <v>57.7</v>
      </c>
      <c r="H263" s="32"/>
      <c r="I263" s="32">
        <f t="shared" si="66"/>
        <v>57.7</v>
      </c>
      <c r="J263" s="32"/>
      <c r="K263" s="32">
        <f t="shared" si="67"/>
        <v>57.7</v>
      </c>
      <c r="L263" s="32"/>
      <c r="M263" s="32">
        <f t="shared" si="68"/>
        <v>57.7</v>
      </c>
      <c r="N263" s="32"/>
      <c r="O263" s="32">
        <f t="shared" si="69"/>
        <v>57.7</v>
      </c>
    </row>
    <row r="264" spans="1:15" s="60" customFormat="1" ht="78.75" customHeight="1" hidden="1">
      <c r="A264" s="59"/>
      <c r="B264" s="3" t="s">
        <v>626</v>
      </c>
      <c r="C264" s="3" t="s">
        <v>361</v>
      </c>
      <c r="D264" s="42" t="s">
        <v>281</v>
      </c>
      <c r="E264" s="1" t="s">
        <v>466</v>
      </c>
      <c r="F264" s="1">
        <v>611</v>
      </c>
      <c r="G264" s="32"/>
      <c r="H264" s="32"/>
      <c r="I264" s="32">
        <f t="shared" si="66"/>
        <v>0</v>
      </c>
      <c r="J264" s="32"/>
      <c r="K264" s="32">
        <f t="shared" si="67"/>
        <v>0</v>
      </c>
      <c r="L264" s="32"/>
      <c r="M264" s="32">
        <f t="shared" si="68"/>
        <v>0</v>
      </c>
      <c r="N264" s="32"/>
      <c r="O264" s="32">
        <f t="shared" si="69"/>
        <v>0</v>
      </c>
    </row>
    <row r="265" spans="2:15" s="58" customFormat="1" ht="81" customHeight="1">
      <c r="B265" s="3" t="s">
        <v>620</v>
      </c>
      <c r="C265" s="3" t="s">
        <v>361</v>
      </c>
      <c r="D265" s="42" t="s">
        <v>125</v>
      </c>
      <c r="E265" s="1" t="s">
        <v>659</v>
      </c>
      <c r="F265" s="1">
        <v>483</v>
      </c>
      <c r="G265" s="32">
        <v>709.4</v>
      </c>
      <c r="H265" s="32"/>
      <c r="I265" s="32">
        <f t="shared" si="66"/>
        <v>709.4</v>
      </c>
      <c r="J265" s="32"/>
      <c r="K265" s="32">
        <f t="shared" si="67"/>
        <v>709.4</v>
      </c>
      <c r="L265" s="32"/>
      <c r="M265" s="32">
        <f t="shared" si="68"/>
        <v>709.4</v>
      </c>
      <c r="N265" s="32"/>
      <c r="O265" s="32">
        <f t="shared" si="69"/>
        <v>709.4</v>
      </c>
    </row>
    <row r="266" spans="2:15" s="58" customFormat="1" ht="84" customHeight="1">
      <c r="B266" s="3" t="s">
        <v>131</v>
      </c>
      <c r="C266" s="3" t="s">
        <v>361</v>
      </c>
      <c r="D266" s="42" t="s">
        <v>124</v>
      </c>
      <c r="E266" s="1" t="s">
        <v>660</v>
      </c>
      <c r="F266" s="1">
        <v>611</v>
      </c>
      <c r="G266" s="32">
        <v>49560.7</v>
      </c>
      <c r="H266" s="32"/>
      <c r="I266" s="32">
        <f t="shared" si="66"/>
        <v>49560.7</v>
      </c>
      <c r="J266" s="32"/>
      <c r="K266" s="32">
        <f t="shared" si="67"/>
        <v>49560.7</v>
      </c>
      <c r="L266" s="32"/>
      <c r="M266" s="32">
        <f t="shared" si="68"/>
        <v>49560.7</v>
      </c>
      <c r="N266" s="32"/>
      <c r="O266" s="32">
        <f t="shared" si="69"/>
        <v>49560.7</v>
      </c>
    </row>
    <row r="267" spans="2:15" s="58" customFormat="1" ht="98.25" customHeight="1">
      <c r="B267" s="3" t="s">
        <v>132</v>
      </c>
      <c r="C267" s="3" t="s">
        <v>361</v>
      </c>
      <c r="D267" s="42" t="s">
        <v>8</v>
      </c>
      <c r="E267" s="1" t="s">
        <v>661</v>
      </c>
      <c r="F267" s="1">
        <v>563</v>
      </c>
      <c r="G267" s="32">
        <v>27461.4</v>
      </c>
      <c r="H267" s="32"/>
      <c r="I267" s="32">
        <f t="shared" si="66"/>
        <v>27461.4</v>
      </c>
      <c r="J267" s="32"/>
      <c r="K267" s="32">
        <f t="shared" si="67"/>
        <v>27461.4</v>
      </c>
      <c r="L267" s="32"/>
      <c r="M267" s="32">
        <f t="shared" si="68"/>
        <v>27461.4</v>
      </c>
      <c r="N267" s="32"/>
      <c r="O267" s="32">
        <f t="shared" si="69"/>
        <v>27461.4</v>
      </c>
    </row>
    <row r="268" spans="2:15" s="58" customFormat="1" ht="51.75" customHeight="1">
      <c r="B268" s="3" t="s">
        <v>133</v>
      </c>
      <c r="C268" s="3" t="s">
        <v>361</v>
      </c>
      <c r="D268" s="42" t="s">
        <v>279</v>
      </c>
      <c r="E268" s="1" t="s">
        <v>470</v>
      </c>
      <c r="F268" s="1">
        <v>483</v>
      </c>
      <c r="G268" s="32">
        <f>72682.2</f>
        <v>72682.2</v>
      </c>
      <c r="H268" s="32"/>
      <c r="I268" s="32">
        <f t="shared" si="66"/>
        <v>72682.2</v>
      </c>
      <c r="J268" s="32"/>
      <c r="K268" s="32">
        <f t="shared" si="67"/>
        <v>72682.2</v>
      </c>
      <c r="L268" s="32"/>
      <c r="M268" s="32">
        <f t="shared" si="68"/>
        <v>72682.2</v>
      </c>
      <c r="N268" s="32"/>
      <c r="O268" s="32">
        <f t="shared" si="69"/>
        <v>72682.2</v>
      </c>
    </row>
    <row r="269" spans="2:15" s="58" customFormat="1" ht="98.25" customHeight="1" hidden="1">
      <c r="B269" s="3" t="s">
        <v>164</v>
      </c>
      <c r="C269" s="3" t="s">
        <v>361</v>
      </c>
      <c r="D269" s="65" t="s">
        <v>9</v>
      </c>
      <c r="E269" s="1" t="s">
        <v>471</v>
      </c>
      <c r="F269" s="1">
        <v>483</v>
      </c>
      <c r="G269" s="32">
        <v>2280</v>
      </c>
      <c r="H269" s="32"/>
      <c r="I269" s="32">
        <f t="shared" si="66"/>
        <v>2280</v>
      </c>
      <c r="J269" s="32">
        <v>-2280</v>
      </c>
      <c r="K269" s="32">
        <f t="shared" si="67"/>
        <v>0</v>
      </c>
      <c r="L269" s="32"/>
      <c r="M269" s="32">
        <f t="shared" si="68"/>
        <v>0</v>
      </c>
      <c r="N269" s="32"/>
      <c r="O269" s="32">
        <f t="shared" si="69"/>
        <v>0</v>
      </c>
    </row>
    <row r="270" spans="2:15" s="58" customFormat="1" ht="48" customHeight="1" hidden="1">
      <c r="B270" s="3" t="s">
        <v>165</v>
      </c>
      <c r="C270" s="3" t="s">
        <v>361</v>
      </c>
      <c r="D270" s="35" t="s">
        <v>664</v>
      </c>
      <c r="E270" s="1" t="s">
        <v>662</v>
      </c>
      <c r="F270" s="1">
        <v>483</v>
      </c>
      <c r="G270" s="32">
        <v>3300</v>
      </c>
      <c r="H270" s="32"/>
      <c r="I270" s="32">
        <f t="shared" si="66"/>
        <v>3300</v>
      </c>
      <c r="J270" s="32">
        <v>-3300</v>
      </c>
      <c r="K270" s="32">
        <f t="shared" si="67"/>
        <v>0</v>
      </c>
      <c r="L270" s="32"/>
      <c r="M270" s="32">
        <f t="shared" si="68"/>
        <v>0</v>
      </c>
      <c r="N270" s="32"/>
      <c r="O270" s="32">
        <f t="shared" si="69"/>
        <v>0</v>
      </c>
    </row>
    <row r="271" spans="2:15" s="58" customFormat="1" ht="47.25" customHeight="1" hidden="1">
      <c r="B271" s="3" t="s">
        <v>166</v>
      </c>
      <c r="C271" s="3" t="s">
        <v>361</v>
      </c>
      <c r="D271" s="35" t="s">
        <v>665</v>
      </c>
      <c r="E271" s="1" t="s">
        <v>472</v>
      </c>
      <c r="F271" s="1">
        <v>483</v>
      </c>
      <c r="G271" s="32">
        <v>12850</v>
      </c>
      <c r="H271" s="32"/>
      <c r="I271" s="32">
        <f t="shared" si="66"/>
        <v>12850</v>
      </c>
      <c r="J271" s="32">
        <v>-12850</v>
      </c>
      <c r="K271" s="32">
        <f t="shared" si="67"/>
        <v>0</v>
      </c>
      <c r="L271" s="32"/>
      <c r="M271" s="32">
        <f t="shared" si="68"/>
        <v>0</v>
      </c>
      <c r="N271" s="32"/>
      <c r="O271" s="32">
        <f t="shared" si="69"/>
        <v>0</v>
      </c>
    </row>
    <row r="272" spans="2:15" s="58" customFormat="1" ht="78.75">
      <c r="B272" s="3" t="s">
        <v>134</v>
      </c>
      <c r="C272" s="3" t="s">
        <v>361</v>
      </c>
      <c r="D272" s="52" t="s">
        <v>122</v>
      </c>
      <c r="E272" s="1" t="s">
        <v>11</v>
      </c>
      <c r="F272" s="1">
        <v>483</v>
      </c>
      <c r="G272" s="32">
        <v>0</v>
      </c>
      <c r="H272" s="32">
        <v>486.4</v>
      </c>
      <c r="I272" s="32">
        <f t="shared" si="66"/>
        <v>486.4</v>
      </c>
      <c r="J272" s="32"/>
      <c r="K272" s="32">
        <f t="shared" si="67"/>
        <v>486.4</v>
      </c>
      <c r="L272" s="32"/>
      <c r="M272" s="32">
        <f t="shared" si="68"/>
        <v>486.4</v>
      </c>
      <c r="N272" s="32"/>
      <c r="O272" s="32">
        <f t="shared" si="69"/>
        <v>486.4</v>
      </c>
    </row>
    <row r="273" spans="2:15" s="58" customFormat="1" ht="78.75">
      <c r="B273" s="3" t="s">
        <v>135</v>
      </c>
      <c r="C273" s="3" t="s">
        <v>361</v>
      </c>
      <c r="D273" s="52" t="s">
        <v>123</v>
      </c>
      <c r="E273" s="1" t="s">
        <v>12</v>
      </c>
      <c r="F273" s="1">
        <v>483</v>
      </c>
      <c r="G273" s="32">
        <v>0</v>
      </c>
      <c r="H273" s="32">
        <v>752.8</v>
      </c>
      <c r="I273" s="32">
        <f t="shared" si="66"/>
        <v>752.8</v>
      </c>
      <c r="J273" s="32"/>
      <c r="K273" s="32">
        <f t="shared" si="67"/>
        <v>752.8</v>
      </c>
      <c r="L273" s="32"/>
      <c r="M273" s="32">
        <f t="shared" si="68"/>
        <v>752.8</v>
      </c>
      <c r="N273" s="32"/>
      <c r="O273" s="32">
        <f t="shared" si="69"/>
        <v>752.8</v>
      </c>
    </row>
    <row r="274" spans="2:15" s="5" customFormat="1" ht="63" customHeight="1" hidden="1">
      <c r="B274" s="3"/>
      <c r="C274" s="3"/>
      <c r="D274" s="62"/>
      <c r="E274" s="1"/>
      <c r="F274" s="1"/>
      <c r="G274" s="32">
        <v>0</v>
      </c>
      <c r="H274" s="32"/>
      <c r="I274" s="32">
        <f t="shared" si="66"/>
        <v>0</v>
      </c>
      <c r="J274" s="32"/>
      <c r="K274" s="32">
        <f t="shared" si="67"/>
        <v>0</v>
      </c>
      <c r="L274" s="32"/>
      <c r="M274" s="32">
        <f t="shared" si="68"/>
        <v>0</v>
      </c>
      <c r="N274" s="32"/>
      <c r="O274" s="32">
        <f t="shared" si="69"/>
        <v>0</v>
      </c>
    </row>
    <row r="275" spans="2:15" s="5" customFormat="1" ht="81.75" customHeight="1">
      <c r="B275" s="66" t="s">
        <v>136</v>
      </c>
      <c r="C275" s="66" t="s">
        <v>361</v>
      </c>
      <c r="D275" s="69" t="s">
        <v>63</v>
      </c>
      <c r="E275" s="67" t="s">
        <v>13</v>
      </c>
      <c r="F275" s="67">
        <v>483</v>
      </c>
      <c r="G275" s="68">
        <v>0</v>
      </c>
      <c r="H275" s="68">
        <v>22796.3</v>
      </c>
      <c r="I275" s="68">
        <f t="shared" si="66"/>
        <v>22796.3</v>
      </c>
      <c r="J275" s="68">
        <v>-1612.6</v>
      </c>
      <c r="K275" s="68">
        <f t="shared" si="67"/>
        <v>21183.7</v>
      </c>
      <c r="L275" s="68"/>
      <c r="M275" s="68">
        <f t="shared" si="68"/>
        <v>21183.7</v>
      </c>
      <c r="N275" s="68">
        <v>-6758.4</v>
      </c>
      <c r="O275" s="68">
        <f t="shared" si="69"/>
        <v>14425.300000000001</v>
      </c>
    </row>
    <row r="276" spans="2:15" s="5" customFormat="1" ht="51" customHeight="1">
      <c r="B276" s="3" t="s">
        <v>137</v>
      </c>
      <c r="C276" s="3" t="s">
        <v>361</v>
      </c>
      <c r="D276" s="52" t="s">
        <v>121</v>
      </c>
      <c r="E276" s="1" t="s">
        <v>76</v>
      </c>
      <c r="F276" s="1">
        <v>483</v>
      </c>
      <c r="G276" s="32">
        <v>0</v>
      </c>
      <c r="H276" s="32">
        <v>480</v>
      </c>
      <c r="I276" s="32">
        <f t="shared" si="66"/>
        <v>480</v>
      </c>
      <c r="J276" s="32"/>
      <c r="K276" s="32">
        <f t="shared" si="67"/>
        <v>480</v>
      </c>
      <c r="L276" s="32"/>
      <c r="M276" s="32">
        <f t="shared" si="68"/>
        <v>480</v>
      </c>
      <c r="N276" s="32"/>
      <c r="O276" s="32">
        <f t="shared" si="69"/>
        <v>480</v>
      </c>
    </row>
    <row r="277" spans="2:15" s="5" customFormat="1" ht="111" customHeight="1">
      <c r="B277" s="3" t="s">
        <v>138</v>
      </c>
      <c r="C277" s="3" t="s">
        <v>361</v>
      </c>
      <c r="D277" s="52" t="s">
        <v>64</v>
      </c>
      <c r="E277" s="1" t="s">
        <v>85</v>
      </c>
      <c r="F277" s="1">
        <v>483</v>
      </c>
      <c r="G277" s="32">
        <v>0</v>
      </c>
      <c r="H277" s="32">
        <v>480</v>
      </c>
      <c r="I277" s="32">
        <v>0</v>
      </c>
      <c r="J277" s="32">
        <v>732.7</v>
      </c>
      <c r="K277" s="32">
        <f t="shared" si="67"/>
        <v>732.7</v>
      </c>
      <c r="L277" s="32"/>
      <c r="M277" s="32">
        <f t="shared" si="68"/>
        <v>732.7</v>
      </c>
      <c r="N277" s="32"/>
      <c r="O277" s="32">
        <f t="shared" si="69"/>
        <v>732.7</v>
      </c>
    </row>
    <row r="278" spans="2:15" s="5" customFormat="1" ht="80.25" customHeight="1">
      <c r="B278" s="3" t="s">
        <v>139</v>
      </c>
      <c r="C278" s="3" t="s">
        <v>361</v>
      </c>
      <c r="D278" s="29" t="s">
        <v>201</v>
      </c>
      <c r="E278" s="1" t="s">
        <v>86</v>
      </c>
      <c r="F278" s="1">
        <v>421</v>
      </c>
      <c r="G278" s="32">
        <v>0</v>
      </c>
      <c r="H278" s="32">
        <v>480</v>
      </c>
      <c r="I278" s="32">
        <v>0</v>
      </c>
      <c r="J278" s="32">
        <v>10174.9</v>
      </c>
      <c r="K278" s="32">
        <f t="shared" si="67"/>
        <v>10174.9</v>
      </c>
      <c r="L278" s="32"/>
      <c r="M278" s="32">
        <f t="shared" si="68"/>
        <v>10174.9</v>
      </c>
      <c r="N278" s="32"/>
      <c r="O278" s="32">
        <f t="shared" si="69"/>
        <v>10174.9</v>
      </c>
    </row>
    <row r="279" spans="2:15" s="5" customFormat="1" ht="80.25" customHeight="1">
      <c r="B279" s="3" t="s">
        <v>140</v>
      </c>
      <c r="C279" s="3" t="s">
        <v>361</v>
      </c>
      <c r="D279" s="42" t="s">
        <v>668</v>
      </c>
      <c r="E279" s="1" t="s">
        <v>159</v>
      </c>
      <c r="F279" s="1">
        <v>613</v>
      </c>
      <c r="G279" s="32">
        <v>729.5</v>
      </c>
      <c r="H279" s="32"/>
      <c r="I279" s="32">
        <v>0</v>
      </c>
      <c r="J279" s="32">
        <v>729.5</v>
      </c>
      <c r="K279" s="32">
        <f t="shared" si="67"/>
        <v>729.5</v>
      </c>
      <c r="L279" s="32"/>
      <c r="M279" s="32">
        <f t="shared" si="68"/>
        <v>729.5</v>
      </c>
      <c r="N279" s="32"/>
      <c r="O279" s="32">
        <f t="shared" si="69"/>
        <v>729.5</v>
      </c>
    </row>
    <row r="280" spans="2:15" s="63" customFormat="1" ht="22.5" customHeight="1">
      <c r="B280" s="23" t="s">
        <v>141</v>
      </c>
      <c r="C280" s="23" t="s">
        <v>460</v>
      </c>
      <c r="D280" s="40" t="s">
        <v>461</v>
      </c>
      <c r="E280" s="21"/>
      <c r="F280" s="26"/>
      <c r="G280" s="31">
        <f>G281+G282+G283+G284</f>
        <v>28722.2347</v>
      </c>
      <c r="H280" s="31">
        <f>H282+H281+H283+H284</f>
        <v>1124.70007</v>
      </c>
      <c r="I280" s="31">
        <f>I281+I282+I283+I284</f>
        <v>29846.93477</v>
      </c>
      <c r="J280" s="31">
        <f aca="true" t="shared" si="70" ref="J280:O280">J281+J282+J283+J284+J285+J286+J287+J288</f>
        <v>20593.8</v>
      </c>
      <c r="K280" s="31">
        <f t="shared" si="70"/>
        <v>50440.734769999995</v>
      </c>
      <c r="L280" s="31">
        <f t="shared" si="70"/>
        <v>-2940</v>
      </c>
      <c r="M280" s="31">
        <f t="shared" si="70"/>
        <v>47500.734769999995</v>
      </c>
      <c r="N280" s="31">
        <f t="shared" si="70"/>
        <v>60.73</v>
      </c>
      <c r="O280" s="31">
        <f t="shared" si="70"/>
        <v>47561.46477</v>
      </c>
    </row>
    <row r="281" spans="2:15" s="5" customFormat="1" ht="102" customHeight="1">
      <c r="B281" s="3" t="s">
        <v>142</v>
      </c>
      <c r="C281" s="3" t="s">
        <v>460</v>
      </c>
      <c r="D281" s="42" t="s">
        <v>119</v>
      </c>
      <c r="E281" s="1" t="s">
        <v>655</v>
      </c>
      <c r="F281" s="3" t="s">
        <v>412</v>
      </c>
      <c r="G281" s="32">
        <v>20677.8</v>
      </c>
      <c r="H281" s="32">
        <v>1124.7</v>
      </c>
      <c r="I281" s="32">
        <f>G281+H281</f>
        <v>21802.5</v>
      </c>
      <c r="J281" s="32">
        <v>1041.4</v>
      </c>
      <c r="K281" s="32">
        <f aca="true" t="shared" si="71" ref="K281:K288">I281+J281</f>
        <v>22843.9</v>
      </c>
      <c r="L281" s="32"/>
      <c r="M281" s="32">
        <f aca="true" t="shared" si="72" ref="M281:M288">K281+L281</f>
        <v>22843.9</v>
      </c>
      <c r="N281" s="32"/>
      <c r="O281" s="32">
        <f aca="true" t="shared" si="73" ref="O281:O288">M281+N281</f>
        <v>22843.9</v>
      </c>
    </row>
    <row r="282" spans="2:15" s="5" customFormat="1" ht="32.25" customHeight="1">
      <c r="B282" s="3" t="s">
        <v>143</v>
      </c>
      <c r="C282" s="3" t="s">
        <v>460</v>
      </c>
      <c r="D282" s="42" t="s">
        <v>120</v>
      </c>
      <c r="E282" s="1" t="s">
        <v>667</v>
      </c>
      <c r="F282" s="3" t="s">
        <v>412</v>
      </c>
      <c r="G282" s="32">
        <v>5237.7</v>
      </c>
      <c r="H282" s="32"/>
      <c r="I282" s="32">
        <f>G282+H282</f>
        <v>5237.7</v>
      </c>
      <c r="J282" s="32">
        <v>122.4</v>
      </c>
      <c r="K282" s="32">
        <f t="shared" si="71"/>
        <v>5360.099999999999</v>
      </c>
      <c r="L282" s="32"/>
      <c r="M282" s="32">
        <f t="shared" si="72"/>
        <v>5360.099999999999</v>
      </c>
      <c r="N282" s="32"/>
      <c r="O282" s="32">
        <f t="shared" si="73"/>
        <v>5360.099999999999</v>
      </c>
    </row>
    <row r="283" spans="2:15" s="5" customFormat="1" ht="21.75" customHeight="1">
      <c r="B283" s="3" t="s">
        <v>144</v>
      </c>
      <c r="C283" s="3" t="s">
        <v>460</v>
      </c>
      <c r="D283" s="29" t="s">
        <v>277</v>
      </c>
      <c r="E283" s="1" t="s">
        <v>222</v>
      </c>
      <c r="F283" s="1">
        <v>606</v>
      </c>
      <c r="G283" s="32">
        <v>742</v>
      </c>
      <c r="H283" s="32"/>
      <c r="I283" s="32">
        <f>G283+H283</f>
        <v>742</v>
      </c>
      <c r="J283" s="32"/>
      <c r="K283" s="32">
        <f t="shared" si="71"/>
        <v>742</v>
      </c>
      <c r="L283" s="32"/>
      <c r="M283" s="32">
        <f t="shared" si="72"/>
        <v>742</v>
      </c>
      <c r="N283" s="32"/>
      <c r="O283" s="32">
        <f t="shared" si="73"/>
        <v>742</v>
      </c>
    </row>
    <row r="284" spans="2:15" s="5" customFormat="1" ht="31.5">
      <c r="B284" s="3" t="s">
        <v>626</v>
      </c>
      <c r="C284" s="3" t="s">
        <v>460</v>
      </c>
      <c r="D284" s="29" t="s">
        <v>278</v>
      </c>
      <c r="E284" s="1" t="s">
        <v>223</v>
      </c>
      <c r="F284" s="1">
        <v>606</v>
      </c>
      <c r="G284" s="32">
        <v>2064.7347</v>
      </c>
      <c r="H284" s="32">
        <v>7E-05</v>
      </c>
      <c r="I284" s="32">
        <f>G284+H284</f>
        <v>2064.73477</v>
      </c>
      <c r="J284" s="32"/>
      <c r="K284" s="32">
        <f t="shared" si="71"/>
        <v>2064.73477</v>
      </c>
      <c r="L284" s="32"/>
      <c r="M284" s="32">
        <f t="shared" si="72"/>
        <v>2064.73477</v>
      </c>
      <c r="N284" s="32"/>
      <c r="O284" s="32">
        <f t="shared" si="73"/>
        <v>2064.73477</v>
      </c>
    </row>
    <row r="285" spans="2:15" s="5" customFormat="1" ht="47.25">
      <c r="B285" s="3" t="s">
        <v>145</v>
      </c>
      <c r="C285" s="3" t="s">
        <v>460</v>
      </c>
      <c r="D285" s="29" t="s">
        <v>33</v>
      </c>
      <c r="E285" s="1" t="s">
        <v>92</v>
      </c>
      <c r="F285" s="1">
        <v>482</v>
      </c>
      <c r="G285" s="32">
        <v>1000</v>
      </c>
      <c r="H285" s="32"/>
      <c r="I285" s="32">
        <v>0</v>
      </c>
      <c r="J285" s="32">
        <v>1000</v>
      </c>
      <c r="K285" s="32">
        <f t="shared" si="71"/>
        <v>1000</v>
      </c>
      <c r="L285" s="32"/>
      <c r="M285" s="32">
        <f t="shared" si="72"/>
        <v>1000</v>
      </c>
      <c r="N285" s="32"/>
      <c r="O285" s="32">
        <f t="shared" si="73"/>
        <v>1000</v>
      </c>
    </row>
    <row r="286" spans="2:15" s="5" customFormat="1" ht="94.5">
      <c r="B286" s="3" t="s">
        <v>146</v>
      </c>
      <c r="C286" s="3" t="s">
        <v>460</v>
      </c>
      <c r="D286" s="65" t="s">
        <v>118</v>
      </c>
      <c r="E286" s="1" t="s">
        <v>96</v>
      </c>
      <c r="F286" s="1">
        <v>482</v>
      </c>
      <c r="G286" s="32">
        <v>2280</v>
      </c>
      <c r="H286" s="32"/>
      <c r="I286" s="32">
        <v>0</v>
      </c>
      <c r="J286" s="32">
        <v>2280</v>
      </c>
      <c r="K286" s="32">
        <f t="shared" si="71"/>
        <v>2280</v>
      </c>
      <c r="L286" s="32"/>
      <c r="M286" s="32">
        <f t="shared" si="72"/>
        <v>2280</v>
      </c>
      <c r="N286" s="32"/>
      <c r="O286" s="32">
        <f t="shared" si="73"/>
        <v>2280</v>
      </c>
    </row>
    <row r="287" spans="2:15" s="5" customFormat="1" ht="31.5">
      <c r="B287" s="66" t="s">
        <v>36</v>
      </c>
      <c r="C287" s="66" t="s">
        <v>460</v>
      </c>
      <c r="D287" s="74" t="s">
        <v>116</v>
      </c>
      <c r="E287" s="67" t="s">
        <v>97</v>
      </c>
      <c r="F287" s="67">
        <v>482</v>
      </c>
      <c r="G287" s="68">
        <v>3300</v>
      </c>
      <c r="H287" s="68"/>
      <c r="I287" s="68">
        <v>0</v>
      </c>
      <c r="J287" s="68">
        <v>3300</v>
      </c>
      <c r="K287" s="68">
        <f t="shared" si="71"/>
        <v>3300</v>
      </c>
      <c r="L287" s="68"/>
      <c r="M287" s="68">
        <f t="shared" si="72"/>
        <v>3300</v>
      </c>
      <c r="N287" s="68">
        <v>60.73</v>
      </c>
      <c r="O287" s="68">
        <f t="shared" si="73"/>
        <v>3360.73</v>
      </c>
    </row>
    <row r="288" spans="2:15" s="5" customFormat="1" ht="45" customHeight="1">
      <c r="B288" s="3" t="s">
        <v>37</v>
      </c>
      <c r="C288" s="3" t="s">
        <v>460</v>
      </c>
      <c r="D288" s="35" t="s">
        <v>114</v>
      </c>
      <c r="E288" s="1" t="s">
        <v>98</v>
      </c>
      <c r="F288" s="1">
        <v>482</v>
      </c>
      <c r="G288" s="32">
        <v>12850</v>
      </c>
      <c r="H288" s="32"/>
      <c r="I288" s="32">
        <v>0</v>
      </c>
      <c r="J288" s="32">
        <v>12850</v>
      </c>
      <c r="K288" s="32">
        <f t="shared" si="71"/>
        <v>12850</v>
      </c>
      <c r="L288" s="32">
        <v>-2940</v>
      </c>
      <c r="M288" s="32">
        <f t="shared" si="72"/>
        <v>9910</v>
      </c>
      <c r="N288" s="32"/>
      <c r="O288" s="32">
        <f t="shared" si="73"/>
        <v>9910</v>
      </c>
    </row>
    <row r="289" spans="2:15" s="5" customFormat="1" ht="23.25" customHeight="1">
      <c r="B289" s="6" t="s">
        <v>671</v>
      </c>
      <c r="C289" s="6"/>
      <c r="D289" s="49" t="s">
        <v>312</v>
      </c>
      <c r="E289" s="7"/>
      <c r="F289" s="7"/>
      <c r="G289" s="30" t="e">
        <f aca="true" t="shared" si="74" ref="G289:O289">G13+G47+G65+G82+G125+G128+G178+G219+G248</f>
        <v>#REF!</v>
      </c>
      <c r="H289" s="30" t="e">
        <f t="shared" si="74"/>
        <v>#REF!</v>
      </c>
      <c r="I289" s="30">
        <f t="shared" si="74"/>
        <v>2658310.3367</v>
      </c>
      <c r="J289" s="30">
        <f t="shared" si="74"/>
        <v>40581.42600000001</v>
      </c>
      <c r="K289" s="30">
        <f t="shared" si="74"/>
        <v>2698891.7627</v>
      </c>
      <c r="L289" s="30">
        <f t="shared" si="74"/>
        <v>3.637978807091713E-12</v>
      </c>
      <c r="M289" s="30">
        <f t="shared" si="74"/>
        <v>2698891.7627000003</v>
      </c>
      <c r="N289" s="30">
        <f t="shared" si="74"/>
        <v>1248.6</v>
      </c>
      <c r="O289" s="30">
        <f t="shared" si="74"/>
        <v>2700140.3627</v>
      </c>
    </row>
    <row r="290" spans="2:15" s="5" customFormat="1" ht="15.75">
      <c r="B290" s="14"/>
      <c r="C290" s="4"/>
      <c r="H290" s="51" t="e">
        <f>H289-H305</f>
        <v>#REF!</v>
      </c>
      <c r="I290" s="51"/>
      <c r="J290" s="51">
        <f>J291-J289</f>
        <v>-145.10000000000582</v>
      </c>
      <c r="K290" s="51">
        <v>2698746.6627</v>
      </c>
      <c r="L290" s="51"/>
      <c r="M290" s="51"/>
      <c r="N290" s="51">
        <v>1248.6</v>
      </c>
      <c r="O290" s="51">
        <v>2700140.3627</v>
      </c>
    </row>
    <row r="291" spans="2:15" s="5" customFormat="1" ht="15.75">
      <c r="B291" s="4"/>
      <c r="C291" s="4"/>
      <c r="E291" s="95"/>
      <c r="F291" s="95"/>
      <c r="G291" s="28"/>
      <c r="H291" s="19"/>
      <c r="I291" s="19"/>
      <c r="J291" s="19">
        <f>41964.926-1612.6+84</f>
        <v>40436.326</v>
      </c>
      <c r="K291" s="19"/>
      <c r="L291" s="19"/>
      <c r="M291" s="19"/>
      <c r="N291" s="19"/>
      <c r="O291" s="19"/>
    </row>
    <row r="292" spans="2:15" s="5" customFormat="1" ht="15.75">
      <c r="B292" s="4"/>
      <c r="C292" s="4"/>
      <c r="E292" s="9"/>
      <c r="F292" s="9"/>
      <c r="G292" s="20"/>
      <c r="H292" s="19"/>
      <c r="I292" s="19"/>
      <c r="J292" s="19">
        <v>145.1</v>
      </c>
      <c r="K292" s="19"/>
      <c r="L292" s="19"/>
      <c r="M292" s="19"/>
      <c r="N292" s="19">
        <f>N289-N290</f>
        <v>0</v>
      </c>
      <c r="O292" s="19"/>
    </row>
    <row r="293" spans="2:15" s="5" customFormat="1" ht="15.75">
      <c r="B293" s="4"/>
      <c r="C293" s="4"/>
      <c r="E293" s="9"/>
      <c r="F293" s="9"/>
      <c r="G293" s="20"/>
      <c r="H293" s="19"/>
      <c r="I293" s="19"/>
      <c r="J293" s="19"/>
      <c r="K293" s="19"/>
      <c r="L293" s="19"/>
      <c r="M293" s="19"/>
      <c r="N293" s="19"/>
      <c r="O293" s="19"/>
    </row>
    <row r="294" spans="2:8" s="5" customFormat="1" ht="12.75">
      <c r="B294" s="4"/>
      <c r="C294" s="4"/>
      <c r="G294" s="50">
        <v>101926.32136</v>
      </c>
      <c r="H294" s="5">
        <v>75767.52976</v>
      </c>
    </row>
    <row r="295" spans="2:10" s="5" customFormat="1" ht="12.75">
      <c r="B295" s="4"/>
      <c r="C295" s="4"/>
      <c r="J295" s="51"/>
    </row>
    <row r="296" spans="2:8" s="5" customFormat="1" ht="12.75">
      <c r="B296" s="4"/>
      <c r="C296" s="4"/>
      <c r="G296" s="17"/>
      <c r="H296" s="51">
        <f>H272+H273+H274+H275+H281+H147+H28+H26+4.2+H223</f>
        <v>30458.54</v>
      </c>
    </row>
    <row r="297" spans="2:8" s="5" customFormat="1" ht="12.75">
      <c r="B297" s="4"/>
      <c r="C297" s="4"/>
      <c r="H297" s="5">
        <v>80</v>
      </c>
    </row>
    <row r="298" spans="2:8" s="5" customFormat="1" ht="12.75">
      <c r="B298" s="4"/>
      <c r="C298" s="4"/>
      <c r="H298" s="51">
        <f>H144+H25+H143+0.92119</f>
        <v>35.554880000000004</v>
      </c>
    </row>
    <row r="299" spans="2:8" s="5" customFormat="1" ht="12.75">
      <c r="B299" s="4"/>
      <c r="C299" s="4"/>
      <c r="H299" s="51">
        <f>H67+H76+H88+H99+H127+H130+H190+H201+H204+H193+H31+H44+115.4+2100</f>
        <v>8150.143970000001</v>
      </c>
    </row>
    <row r="300" spans="2:8" s="5" customFormat="1" ht="12.75">
      <c r="B300" s="4"/>
      <c r="C300" s="4"/>
      <c r="H300" s="51">
        <f>H79+480</f>
        <v>-4420.7361599999995</v>
      </c>
    </row>
    <row r="301" spans="2:8" s="5" customFormat="1" ht="15" customHeight="1">
      <c r="B301" s="4"/>
      <c r="C301" s="4"/>
      <c r="H301" s="5">
        <v>0.55056</v>
      </c>
    </row>
    <row r="302" spans="2:8" s="5" customFormat="1" ht="12.75">
      <c r="B302" s="4"/>
      <c r="C302" s="4"/>
      <c r="H302" s="51">
        <f>H57+H74+H107+H135+H151+H225+H241</f>
        <v>4631.24772</v>
      </c>
    </row>
    <row r="303" spans="2:8" s="5" customFormat="1" ht="12.75">
      <c r="B303" s="4"/>
      <c r="C303" s="4"/>
      <c r="H303" s="5">
        <v>0.07284</v>
      </c>
    </row>
    <row r="304" spans="2:8" s="5" customFormat="1" ht="12.75">
      <c r="B304" s="4"/>
      <c r="C304" s="4"/>
      <c r="H304" s="5">
        <v>388.477</v>
      </c>
    </row>
    <row r="305" spans="2:8" s="5" customFormat="1" ht="12.75">
      <c r="B305" s="4"/>
      <c r="C305" s="4"/>
      <c r="G305" s="17"/>
      <c r="H305" s="50">
        <f>SUM(H294:H304)</f>
        <v>115091.38057000001</v>
      </c>
    </row>
    <row r="306" spans="2:3" s="5" customFormat="1" ht="12.75">
      <c r="B306" s="4"/>
      <c r="C306" s="4"/>
    </row>
    <row r="307" spans="2:3" s="5" customFormat="1" ht="12.75">
      <c r="B307" s="4"/>
      <c r="C307" s="4"/>
    </row>
    <row r="308" spans="2:8" s="5" customFormat="1" ht="12.75">
      <c r="B308" s="4"/>
      <c r="C308" s="4"/>
      <c r="H308" s="51">
        <f>H294+H298+H303+H301</f>
        <v>75803.70804</v>
      </c>
    </row>
    <row r="309" spans="2:8" s="5" customFormat="1" ht="12.75">
      <c r="B309" s="4"/>
      <c r="C309" s="4"/>
      <c r="H309" s="50">
        <v>101926.32136</v>
      </c>
    </row>
    <row r="310" spans="2:8" s="5" customFormat="1" ht="12.75">
      <c r="B310" s="4"/>
      <c r="C310" s="4"/>
      <c r="H310" s="50"/>
    </row>
    <row r="311" spans="2:3" s="5" customFormat="1" ht="12.75">
      <c r="B311" s="4"/>
      <c r="C311" s="4"/>
    </row>
    <row r="312" spans="2:7" s="5" customFormat="1" ht="14.25">
      <c r="B312" s="4"/>
      <c r="C312" s="4"/>
      <c r="G312" s="18"/>
    </row>
    <row r="313" spans="2:8" s="5" customFormat="1" ht="12.75">
      <c r="B313" s="4"/>
      <c r="C313" s="4"/>
      <c r="H313" s="50">
        <f>H305-H296</f>
        <v>84632.84057</v>
      </c>
    </row>
    <row r="314" spans="2:3" s="5" customFormat="1" ht="12.75">
      <c r="B314" s="4"/>
      <c r="C314" s="4"/>
    </row>
    <row r="315" spans="2:3" s="5" customFormat="1" ht="12.75">
      <c r="B315" s="4"/>
      <c r="C315" s="4"/>
    </row>
    <row r="316" spans="2:3" s="5" customFormat="1" ht="12.75">
      <c r="B316" s="4"/>
      <c r="C316" s="4"/>
    </row>
    <row r="317" spans="2:3" s="5" customFormat="1" ht="12.75">
      <c r="B317" s="4"/>
      <c r="C317" s="4"/>
    </row>
    <row r="318" spans="2:3" s="5" customFormat="1" ht="12.75">
      <c r="B318" s="4"/>
      <c r="C318" s="4"/>
    </row>
    <row r="319" spans="2:3" s="5" customFormat="1" ht="12.75">
      <c r="B319" s="4"/>
      <c r="C319" s="4"/>
    </row>
    <row r="320" spans="2:3" s="5" customFormat="1" ht="12.75">
      <c r="B320" s="4"/>
      <c r="C320" s="4"/>
    </row>
    <row r="321" spans="2:3" s="5" customFormat="1" ht="12.75">
      <c r="B321" s="4"/>
      <c r="C321" s="4"/>
    </row>
    <row r="322" spans="2:3" s="5" customFormat="1" ht="12.75">
      <c r="B322" s="4"/>
      <c r="C322" s="4"/>
    </row>
    <row r="323" spans="2:3" s="5" customFormat="1" ht="12.75">
      <c r="B323" s="4"/>
      <c r="C323" s="4"/>
    </row>
    <row r="324" spans="2:3" s="5" customFormat="1" ht="12.75">
      <c r="B324" s="4"/>
      <c r="C324" s="4"/>
    </row>
    <row r="325" spans="2:3" s="5" customFormat="1" ht="12.75">
      <c r="B325" s="4"/>
      <c r="C325" s="4"/>
    </row>
    <row r="326" spans="2:3" s="5" customFormat="1" ht="12.75">
      <c r="B326" s="4"/>
      <c r="C326" s="4"/>
    </row>
    <row r="327" spans="2:3" s="5" customFormat="1" ht="12.75">
      <c r="B327" s="4"/>
      <c r="C327" s="4"/>
    </row>
    <row r="328" spans="2:3" s="5" customFormat="1" ht="12.75">
      <c r="B328" s="4"/>
      <c r="C328" s="4"/>
    </row>
    <row r="329" spans="2:3" s="5" customFormat="1" ht="12.75">
      <c r="B329" s="4"/>
      <c r="C329" s="4"/>
    </row>
    <row r="330" spans="2:3" s="5" customFormat="1" ht="12.75">
      <c r="B330" s="4"/>
      <c r="C330" s="4"/>
    </row>
    <row r="331" spans="2:3" s="5" customFormat="1" ht="12.75">
      <c r="B331" s="4"/>
      <c r="C331" s="4"/>
    </row>
    <row r="332" spans="2:3" s="5" customFormat="1" ht="12.75">
      <c r="B332" s="4"/>
      <c r="C332" s="4"/>
    </row>
    <row r="333" spans="2:3" s="5" customFormat="1" ht="12.75">
      <c r="B333" s="4"/>
      <c r="C333" s="4"/>
    </row>
    <row r="334" spans="2:3" s="5" customFormat="1" ht="12.75">
      <c r="B334" s="4"/>
      <c r="C334" s="4"/>
    </row>
    <row r="335" spans="2:3" s="5" customFormat="1" ht="12.75">
      <c r="B335" s="4"/>
      <c r="C335" s="4"/>
    </row>
    <row r="336" spans="2:3" s="5" customFormat="1" ht="12.75">
      <c r="B336" s="4"/>
      <c r="C336" s="4"/>
    </row>
    <row r="337" spans="2:3" s="5" customFormat="1" ht="12.75">
      <c r="B337" s="4"/>
      <c r="C337" s="4"/>
    </row>
    <row r="338" spans="2:3" s="5" customFormat="1" ht="12.75">
      <c r="B338" s="4"/>
      <c r="C338" s="4"/>
    </row>
    <row r="339" spans="2:3" s="5" customFormat="1" ht="12.75">
      <c r="B339" s="4"/>
      <c r="C339" s="4"/>
    </row>
    <row r="340" spans="2:3" s="5" customFormat="1" ht="12.75">
      <c r="B340" s="4"/>
      <c r="C340" s="4"/>
    </row>
    <row r="341" spans="2:3" s="5" customFormat="1" ht="12.75">
      <c r="B341" s="4"/>
      <c r="C341" s="4"/>
    </row>
    <row r="342" spans="2:3" s="5" customFormat="1" ht="12.75">
      <c r="B342" s="4"/>
      <c r="C342" s="4"/>
    </row>
    <row r="343" spans="2:3" s="5" customFormat="1" ht="12.75">
      <c r="B343" s="4"/>
      <c r="C343" s="4"/>
    </row>
    <row r="344" spans="2:3" s="5" customFormat="1" ht="12.75">
      <c r="B344" s="4"/>
      <c r="C344" s="4"/>
    </row>
    <row r="345" spans="2:3" s="5" customFormat="1" ht="12.75">
      <c r="B345" s="4"/>
      <c r="C345" s="4"/>
    </row>
    <row r="346" spans="2:3" s="5" customFormat="1" ht="12.75">
      <c r="B346" s="4"/>
      <c r="C346" s="4"/>
    </row>
    <row r="347" spans="2:3" s="5" customFormat="1" ht="12.75">
      <c r="B347" s="4"/>
      <c r="C347" s="4"/>
    </row>
    <row r="348" spans="2:3" s="5" customFormat="1" ht="12.75">
      <c r="B348" s="4"/>
      <c r="C348" s="4"/>
    </row>
    <row r="349" spans="2:3" s="5" customFormat="1" ht="12.75">
      <c r="B349" s="4"/>
      <c r="C349" s="4"/>
    </row>
    <row r="350" spans="2:3" s="5" customFormat="1" ht="12.75">
      <c r="B350" s="4"/>
      <c r="C350" s="4"/>
    </row>
    <row r="351" spans="2:3" s="5" customFormat="1" ht="12.75">
      <c r="B351" s="4"/>
      <c r="C351" s="4"/>
    </row>
    <row r="352" spans="2:3" s="5" customFormat="1" ht="12.75">
      <c r="B352" s="4"/>
      <c r="C352" s="4"/>
    </row>
    <row r="353" spans="2:3" s="5" customFormat="1" ht="12.75">
      <c r="B353" s="4"/>
      <c r="C353" s="4"/>
    </row>
    <row r="354" spans="2:3" s="5" customFormat="1" ht="12.75">
      <c r="B354" s="4"/>
      <c r="C354" s="4"/>
    </row>
    <row r="355" spans="2:3" s="5" customFormat="1" ht="12.75">
      <c r="B355" s="4"/>
      <c r="C355" s="4"/>
    </row>
    <row r="356" spans="2:3" s="5" customFormat="1" ht="12.75">
      <c r="B356" s="4"/>
      <c r="C356" s="4"/>
    </row>
    <row r="357" spans="2:3" s="5" customFormat="1" ht="12.75">
      <c r="B357" s="4"/>
      <c r="C357" s="4"/>
    </row>
    <row r="358" spans="2:3" s="5" customFormat="1" ht="12.75">
      <c r="B358" s="4"/>
      <c r="C358" s="4"/>
    </row>
    <row r="359" spans="2:3" s="5" customFormat="1" ht="12.75">
      <c r="B359" s="4"/>
      <c r="C359" s="4"/>
    </row>
    <row r="360" spans="2:3" s="5" customFormat="1" ht="12.75">
      <c r="B360" s="4"/>
      <c r="C360" s="4"/>
    </row>
    <row r="361" spans="2:3" s="5" customFormat="1" ht="12.75">
      <c r="B361" s="4"/>
      <c r="C361" s="4"/>
    </row>
    <row r="362" spans="2:3" s="5" customFormat="1" ht="12.75">
      <c r="B362" s="4"/>
      <c r="C362" s="4"/>
    </row>
    <row r="363" spans="2:3" s="5" customFormat="1" ht="12.75">
      <c r="B363" s="4"/>
      <c r="C363" s="4"/>
    </row>
    <row r="364" spans="2:3" s="5" customFormat="1" ht="12.75">
      <c r="B364" s="4"/>
      <c r="C364" s="4"/>
    </row>
    <row r="365" spans="2:3" s="5" customFormat="1" ht="12.75">
      <c r="B365" s="4"/>
      <c r="C365" s="4"/>
    </row>
    <row r="366" spans="2:3" s="5" customFormat="1" ht="12.75">
      <c r="B366" s="4"/>
      <c r="C366" s="4"/>
    </row>
    <row r="367" spans="2:3" s="5" customFormat="1" ht="12.75">
      <c r="B367" s="4"/>
      <c r="C367" s="4"/>
    </row>
    <row r="368" spans="2:3" s="5" customFormat="1" ht="12.75">
      <c r="B368" s="4"/>
      <c r="C368" s="4"/>
    </row>
    <row r="369" spans="2:3" s="5" customFormat="1" ht="12.75">
      <c r="B369" s="4"/>
      <c r="C369" s="4"/>
    </row>
    <row r="370" spans="2:3" s="5" customFormat="1" ht="12.75">
      <c r="B370" s="4"/>
      <c r="C370" s="4"/>
    </row>
    <row r="371" spans="2:3" s="5" customFormat="1" ht="12.75">
      <c r="B371" s="4"/>
      <c r="C371" s="4"/>
    </row>
    <row r="372" spans="2:3" s="5" customFormat="1" ht="12.75">
      <c r="B372" s="4"/>
      <c r="C372" s="4"/>
    </row>
    <row r="373" spans="2:3" s="5" customFormat="1" ht="12.75">
      <c r="B373" s="4"/>
      <c r="C373" s="4"/>
    </row>
    <row r="374" spans="2:3" s="5" customFormat="1" ht="12.75">
      <c r="B374" s="4"/>
      <c r="C374" s="4"/>
    </row>
    <row r="375" spans="2:3" s="5" customFormat="1" ht="12.75">
      <c r="B375" s="4"/>
      <c r="C375" s="4"/>
    </row>
    <row r="376" spans="2:3" s="5" customFormat="1" ht="12.75">
      <c r="B376" s="4"/>
      <c r="C376" s="4"/>
    </row>
    <row r="377" s="5" customFormat="1" ht="12.75"/>
    <row r="378" s="5" customFormat="1" ht="12.75"/>
    <row r="379" s="5" customFormat="1" ht="12.75"/>
    <row r="380" s="5" customFormat="1" ht="12.75"/>
    <row r="381" s="5" customFormat="1" ht="12.75"/>
    <row r="382" s="5" customFormat="1" ht="12.75"/>
    <row r="383" s="5" customFormat="1" ht="12.75"/>
    <row r="384" s="5" customFormat="1" ht="12.75"/>
    <row r="385" s="5" customFormat="1" ht="12.75"/>
    <row r="386" s="5" customFormat="1" ht="12.75"/>
    <row r="387" s="5" customFormat="1" ht="12.75"/>
    <row r="388" s="5" customFormat="1" ht="12.75"/>
    <row r="389" s="5" customFormat="1" ht="12.75"/>
    <row r="390" s="5" customFormat="1" ht="12.75"/>
    <row r="391" s="5" customFormat="1" ht="12.75"/>
    <row r="392" s="5" customFormat="1" ht="12.75"/>
    <row r="393" s="5" customFormat="1" ht="12.75"/>
    <row r="394" s="5" customFormat="1" ht="12.75"/>
    <row r="395" s="5" customFormat="1" ht="12.75"/>
  </sheetData>
  <mergeCells count="17">
    <mergeCell ref="B8:O8"/>
    <mergeCell ref="N11:N12"/>
    <mergeCell ref="O11:O12"/>
    <mergeCell ref="C11:C12"/>
    <mergeCell ref="D11:D12"/>
    <mergeCell ref="M11:M12"/>
    <mergeCell ref="K11:K12"/>
    <mergeCell ref="J11:J12"/>
    <mergeCell ref="H11:H12"/>
    <mergeCell ref="I11:I12"/>
    <mergeCell ref="A11:A12"/>
    <mergeCell ref="B11:B12"/>
    <mergeCell ref="E291:F291"/>
    <mergeCell ref="L11:L12"/>
    <mergeCell ref="E11:E12"/>
    <mergeCell ref="F11:F12"/>
    <mergeCell ref="G11:G12"/>
  </mergeCells>
  <printOptions/>
  <pageMargins left="0.7874015748031497" right="0" top="0.3937007874015748" bottom="0.3937007874015748" header="0.03937007874015748" footer="0"/>
  <pageSetup blackAndWhite="1" horizontalDpi="300" verticalDpi="300" orientation="portrait" paperSize="9" scale="68" r:id="rId1"/>
  <headerFooter alignWithMargins="0">
    <oddFooter>&amp;C&amp;7&amp;P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Butova_O</cp:lastModifiedBy>
  <cp:lastPrinted>2007-06-19T07:27:45Z</cp:lastPrinted>
  <dcterms:created xsi:type="dcterms:W3CDTF">2000-12-19T06:01:59Z</dcterms:created>
  <dcterms:modified xsi:type="dcterms:W3CDTF">2007-06-22T05:42:20Z</dcterms:modified>
  <cp:category/>
  <cp:version/>
  <cp:contentType/>
  <cp:contentStatus/>
</cp:coreProperties>
</file>